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Q:\Projekte\3-126-21-HB_Landgewinn\2 Inhalte\3 Daten\Finale Dokumente v3\"/>
    </mc:Choice>
  </mc:AlternateContent>
  <xr:revisionPtr revIDLastSave="0" documentId="13_ncr:1_{322C2BB7-7B59-41F4-BB5C-6DD3624CC1BB}" xr6:coauthVersionLast="47" xr6:coauthVersionMax="47" xr10:uidLastSave="{00000000-0000-0000-0000-000000000000}"/>
  <bookViews>
    <workbookView xWindow="-120" yWindow="-120" windowWidth="29040" windowHeight="15840" xr2:uid="{D60B5DDD-4F88-4715-8747-3F8C5AE884C5}"/>
  </bookViews>
  <sheets>
    <sheet name="Deckblatt" sheetId="5" r:id="rId1"/>
    <sheet name="Hinweise" sheetId="8" r:id="rId2"/>
    <sheet name="Technisch" sheetId="1" r:id="rId3"/>
    <sheet name="Ökonomisch" sheetId="2" r:id="rId4"/>
    <sheet name="Ökologisch" sheetId="3" r:id="rId5"/>
    <sheet name="Prozesskonfigurationen" sheetId="7" r:id="rId6"/>
    <sheet name="Quellenverzeichnis" sheetId="4" r:id="rId7"/>
  </sheets>
  <definedNames>
    <definedName name="_xlnm._FilterDatabase" localSheetId="3" hidden="1">Ökonomisch!$B$2:$AE$2</definedName>
    <definedName name="_xlnm._FilterDatabase" localSheetId="2" hidden="1">Technisch!$B$2:$AE$46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2" l="1"/>
  <c r="K5" i="2"/>
  <c r="K6" i="2"/>
  <c r="K4" i="2"/>
  <c r="J5" i="2"/>
  <c r="J6" i="2"/>
  <c r="J4" i="2"/>
  <c r="I4" i="1"/>
  <c r="H4" i="2"/>
  <c r="M5" i="2"/>
  <c r="M4" i="2"/>
  <c r="I16" i="1" l="1"/>
  <c r="R16" i="1" s="1"/>
  <c r="I15" i="1"/>
  <c r="R15" i="1" s="1"/>
  <c r="I13" i="1"/>
  <c r="I14" i="1"/>
  <c r="R14" i="1" s="1"/>
  <c r="I12" i="1"/>
  <c r="AC6" i="2" l="1"/>
  <c r="AC5" i="2"/>
  <c r="AC4" i="2"/>
  <c r="AA5" i="2"/>
  <c r="AA6" i="2"/>
  <c r="I6" i="1"/>
  <c r="Q6" i="1" s="1"/>
  <c r="I5" i="1"/>
  <c r="Q5" i="1" s="1"/>
  <c r="Q4" i="1"/>
  <c r="J47" i="1" l="1"/>
  <c r="I47" i="1" s="1"/>
  <c r="J19" i="1" l="1"/>
  <c r="J20" i="1"/>
  <c r="J21" i="1"/>
  <c r="J23" i="1"/>
  <c r="J24" i="1"/>
  <c r="J25" i="1"/>
  <c r="J26" i="1"/>
  <c r="J27" i="1"/>
  <c r="J28" i="1"/>
  <c r="J29" i="1"/>
  <c r="J30" i="1"/>
  <c r="J31" i="1"/>
  <c r="J32" i="1"/>
  <c r="J33" i="1"/>
  <c r="J34" i="1"/>
  <c r="J35" i="1"/>
  <c r="J48" i="1"/>
  <c r="J49" i="1"/>
  <c r="R13" i="1"/>
  <c r="R12" i="1"/>
  <c r="Z13" i="2" l="1"/>
  <c r="Z12" i="2"/>
  <c r="Z11" i="2"/>
  <c r="L20" i="2" l="1"/>
  <c r="J21" i="2"/>
  <c r="J20" i="2"/>
  <c r="J22" i="2"/>
  <c r="J9" i="2"/>
  <c r="G5" i="2"/>
  <c r="H5" i="2"/>
  <c r="I5" i="2"/>
  <c r="G6" i="2"/>
  <c r="H6" i="2"/>
  <c r="I6" i="2"/>
  <c r="G7" i="2"/>
  <c r="H7" i="2"/>
  <c r="I7" i="2"/>
  <c r="G8" i="2"/>
  <c r="H8" i="2"/>
  <c r="I8" i="2"/>
  <c r="H9" i="2"/>
  <c r="K9" i="2" s="1"/>
  <c r="I9" i="2"/>
  <c r="G10" i="2"/>
  <c r="J10" i="2" s="1"/>
  <c r="H10" i="2"/>
  <c r="K10" i="2" s="1"/>
  <c r="I10" i="2"/>
  <c r="I11" i="2"/>
  <c r="I12" i="2"/>
  <c r="I13" i="2"/>
  <c r="G14" i="2"/>
  <c r="J14" i="2" s="1"/>
  <c r="H14" i="2"/>
  <c r="K14" i="2" s="1"/>
  <c r="I14" i="2"/>
  <c r="G15" i="2"/>
  <c r="J15" i="2" s="1"/>
  <c r="H15" i="2"/>
  <c r="K15" i="2" s="1"/>
  <c r="I15" i="2"/>
  <c r="G16" i="2"/>
  <c r="J16" i="2" s="1"/>
  <c r="H16" i="2"/>
  <c r="I16" i="2"/>
  <c r="G17" i="2"/>
  <c r="J17" i="2" s="1"/>
  <c r="H17" i="2"/>
  <c r="I17" i="2"/>
  <c r="G18" i="2"/>
  <c r="J18" i="2" s="1"/>
  <c r="H18" i="2"/>
  <c r="I18" i="2"/>
  <c r="G19" i="2"/>
  <c r="J19" i="2" s="1"/>
  <c r="H19" i="2"/>
  <c r="K19" i="2" s="1"/>
  <c r="I19" i="2"/>
  <c r="G20" i="2"/>
  <c r="H20" i="2"/>
  <c r="I20" i="2"/>
  <c r="G21" i="2"/>
  <c r="H21" i="2"/>
  <c r="I21" i="2"/>
  <c r="H22" i="2"/>
  <c r="K22" i="2" s="1"/>
  <c r="I22" i="2"/>
  <c r="I23" i="2"/>
  <c r="I24" i="2"/>
  <c r="I4" i="2"/>
  <c r="G4" i="2"/>
  <c r="F5" i="2"/>
  <c r="F6" i="2"/>
  <c r="F7" i="2"/>
  <c r="F8" i="2"/>
  <c r="F9" i="2"/>
  <c r="F10" i="2"/>
  <c r="F11" i="2"/>
  <c r="F12" i="2"/>
  <c r="F13" i="2"/>
  <c r="F14" i="2"/>
  <c r="F15" i="2"/>
  <c r="F16" i="2"/>
  <c r="F17" i="2"/>
  <c r="F18" i="2"/>
  <c r="F19" i="2"/>
  <c r="F20" i="2"/>
  <c r="F21" i="2"/>
  <c r="F22" i="2"/>
  <c r="F23" i="2"/>
  <c r="F24" i="2"/>
  <c r="F4" i="2"/>
  <c r="D5" i="2"/>
  <c r="D6" i="2"/>
  <c r="D7" i="2"/>
  <c r="D8" i="2"/>
  <c r="D9" i="2"/>
  <c r="D10" i="2"/>
  <c r="D11" i="2"/>
  <c r="D12" i="2"/>
  <c r="D13" i="2"/>
  <c r="D14" i="2"/>
  <c r="D15" i="2"/>
  <c r="D16" i="2"/>
  <c r="D17" i="2"/>
  <c r="D18" i="2"/>
  <c r="D19" i="2"/>
  <c r="D20" i="2"/>
  <c r="D21" i="2"/>
  <c r="D22" i="2"/>
  <c r="D23" i="2"/>
  <c r="D24" i="2"/>
  <c r="D4" i="2"/>
  <c r="C5" i="2"/>
  <c r="C6" i="2"/>
  <c r="C7" i="2"/>
  <c r="C8" i="2"/>
  <c r="C9" i="2"/>
  <c r="C10" i="2"/>
  <c r="C11" i="2"/>
  <c r="C12" i="2"/>
  <c r="C13" i="2"/>
  <c r="C14" i="2"/>
  <c r="C15" i="2"/>
  <c r="C16" i="2"/>
  <c r="C17" i="2"/>
  <c r="C18" i="2"/>
  <c r="C19" i="2"/>
  <c r="C20" i="2"/>
  <c r="C21" i="2"/>
  <c r="C22" i="2"/>
  <c r="C23" i="2"/>
  <c r="C24" i="2"/>
  <c r="C4" i="2"/>
  <c r="Z49" i="1"/>
  <c r="H24" i="2" s="1"/>
  <c r="Z48" i="1"/>
  <c r="H23" i="2" s="1"/>
  <c r="AB6" i="2" l="1"/>
  <c r="AB4" i="2"/>
  <c r="AA4" i="2"/>
  <c r="AB5" i="2"/>
  <c r="Z5" i="2" s="1"/>
  <c r="Z4" i="2" l="1"/>
  <c r="Z6" i="2"/>
  <c r="Q35" i="1" l="1"/>
  <c r="Q34" i="1"/>
  <c r="Q33" i="1"/>
  <c r="Q32" i="1"/>
  <c r="G13" i="2" s="1"/>
  <c r="J13" i="2" s="1"/>
  <c r="Q31" i="1"/>
  <c r="Q30" i="1"/>
  <c r="Q29" i="1"/>
  <c r="Q28" i="1"/>
  <c r="G12" i="2" s="1"/>
  <c r="J12" i="2" s="1"/>
  <c r="Q27" i="1"/>
  <c r="Q26" i="1"/>
  <c r="Q25" i="1"/>
  <c r="Q24" i="1"/>
  <c r="G11" i="2" s="1"/>
  <c r="J11" i="2" s="1"/>
  <c r="T35" i="1"/>
  <c r="T34" i="1"/>
  <c r="T33" i="1"/>
  <c r="T32" i="1"/>
  <c r="T31" i="1"/>
  <c r="T30" i="1"/>
  <c r="T29" i="1"/>
  <c r="T28" i="1"/>
  <c r="T27" i="1"/>
  <c r="T26" i="1"/>
  <c r="T25" i="1"/>
  <c r="T24" i="1"/>
  <c r="W35" i="1"/>
  <c r="W34" i="1"/>
  <c r="W33" i="1"/>
  <c r="W32" i="1"/>
  <c r="W31" i="1"/>
  <c r="W30" i="1"/>
  <c r="W29" i="1"/>
  <c r="W28" i="1"/>
  <c r="W27" i="1"/>
  <c r="W26" i="1"/>
  <c r="W25" i="1"/>
  <c r="W24" i="1"/>
  <c r="AD47" i="1"/>
  <c r="I41" i="1" l="1"/>
  <c r="R41" i="1" l="1"/>
  <c r="M24" i="2"/>
  <c r="M23" i="2"/>
  <c r="T47" i="1"/>
  <c r="AB47" i="1"/>
  <c r="AA19" i="2"/>
  <c r="J23" i="2" l="1"/>
  <c r="K23" i="2"/>
  <c r="J24" i="2"/>
  <c r="K24" i="2"/>
  <c r="R18" i="1" l="1"/>
  <c r="R8" i="1"/>
  <c r="R9" i="1"/>
  <c r="R10" i="1"/>
  <c r="R11" i="1"/>
  <c r="R7" i="1"/>
  <c r="Z35" i="1"/>
  <c r="AB35" i="1" s="1"/>
  <c r="AD35" i="1" s="1"/>
  <c r="Z34" i="1"/>
  <c r="AB34" i="1" s="1"/>
  <c r="AD34" i="1" s="1"/>
  <c r="Z33" i="1"/>
  <c r="AB33" i="1" s="1"/>
  <c r="AD33" i="1" s="1"/>
  <c r="Z32" i="1"/>
  <c r="Z31" i="1"/>
  <c r="AB31" i="1" s="1"/>
  <c r="AD31" i="1" s="1"/>
  <c r="Z30" i="1"/>
  <c r="AB30" i="1" s="1"/>
  <c r="AD30" i="1" s="1"/>
  <c r="Z29" i="1"/>
  <c r="AB29" i="1" s="1"/>
  <c r="AD29" i="1" s="1"/>
  <c r="Z28" i="1"/>
  <c r="Z27" i="1"/>
  <c r="AB27" i="1" s="1"/>
  <c r="AD27" i="1" s="1"/>
  <c r="Z26" i="1"/>
  <c r="AB26" i="1" s="1"/>
  <c r="AD26" i="1" s="1"/>
  <c r="Z25" i="1"/>
  <c r="AB25" i="1" s="1"/>
  <c r="AD25" i="1" s="1"/>
  <c r="Z24" i="1"/>
  <c r="H11" i="2" s="1"/>
  <c r="K11" i="2" s="1"/>
  <c r="AB28" i="1" l="1"/>
  <c r="AD28" i="1" s="1"/>
  <c r="H12" i="2"/>
  <c r="K12" i="2" s="1"/>
  <c r="AB32" i="1"/>
  <c r="AD32" i="1" s="1"/>
  <c r="H13" i="2"/>
  <c r="K13" i="2" s="1"/>
  <c r="AB24" i="1"/>
  <c r="AD24" i="1" s="1"/>
  <c r="R36" i="1"/>
  <c r="R37" i="1"/>
  <c r="AB19" i="1"/>
  <c r="I20" i="1"/>
  <c r="R20" i="1" s="1"/>
  <c r="I21" i="1"/>
  <c r="R21" i="1" s="1"/>
  <c r="I22" i="1"/>
  <c r="R22" i="1" s="1"/>
  <c r="I23" i="1"/>
  <c r="R23" i="1" s="1"/>
  <c r="I19" i="1"/>
  <c r="R19" i="1" s="1"/>
  <c r="F22" i="1"/>
  <c r="J22" i="1" s="1"/>
  <c r="I18" i="1"/>
  <c r="AD18" i="1" l="1"/>
  <c r="AD19" i="1"/>
  <c r="Z20" i="2"/>
  <c r="AB37" i="1"/>
  <c r="Z19" i="2" l="1"/>
</calcChain>
</file>

<file path=xl/sharedStrings.xml><?xml version="1.0" encoding="utf-8"?>
<sst xmlns="http://schemas.openxmlformats.org/spreadsheetml/2006/main" count="1838" uniqueCount="516">
  <si>
    <t>Datenquelle</t>
  </si>
  <si>
    <t>Datentyp</t>
  </si>
  <si>
    <t>Jahr</t>
  </si>
  <si>
    <t>Anlagengröße</t>
  </si>
  <si>
    <t>Wärmeauskopplung</t>
  </si>
  <si>
    <t>Stromauskopplung</t>
  </si>
  <si>
    <t>Biomasseart</t>
  </si>
  <si>
    <t>Biomasse Durchsatz</t>
  </si>
  <si>
    <t>Elektrische Nennleistung</t>
  </si>
  <si>
    <t>Einheit</t>
  </si>
  <si>
    <t>Konvention</t>
  </si>
  <si>
    <t>Keine Angabe</t>
  </si>
  <si>
    <t>Out of Scope</t>
  </si>
  <si>
    <t>Null</t>
  </si>
  <si>
    <t>-</t>
  </si>
  <si>
    <t>xx</t>
  </si>
  <si>
    <t>Energieverbrauch Anlage</t>
  </si>
  <si>
    <t>t TS/a</t>
  </si>
  <si>
    <t>Effekt auf Boden</t>
  </si>
  <si>
    <t>GWP Ergebnisse</t>
  </si>
  <si>
    <t>Literatur</t>
  </si>
  <si>
    <t>Large</t>
  </si>
  <si>
    <t>ja</t>
  </si>
  <si>
    <t>nein</t>
  </si>
  <si>
    <t>Very large</t>
  </si>
  <si>
    <t>Micro</t>
  </si>
  <si>
    <t>Small</t>
  </si>
  <si>
    <t>Medium</t>
  </si>
  <si>
    <t>Industrial</t>
  </si>
  <si>
    <t>Stroh</t>
  </si>
  <si>
    <t>Waldrestholz</t>
  </si>
  <si>
    <t>Hinweis</t>
  </si>
  <si>
    <t>&lt;30% des eingesetzten Wärmeinhalts als Niedertemperatur-Abwärme als Heizungs- oder Trocknungswärme verwertbar</t>
  </si>
  <si>
    <t>Klärschlamm</t>
  </si>
  <si>
    <t>Kiefer Sägemehl</t>
  </si>
  <si>
    <t>Zuckerrohr Rückstände (Bagasse und Stroh)</t>
  </si>
  <si>
    <t>Weiden</t>
  </si>
  <si>
    <t>Tomatenpflanzen</t>
  </si>
  <si>
    <t>Bioschlamm</t>
  </si>
  <si>
    <t>Rapsstroh</t>
  </si>
  <si>
    <t>47-50</t>
  </si>
  <si>
    <t>N2O und Dünger Reduktion</t>
  </si>
  <si>
    <t xml:space="preserve">IMPACT 2002: -2063 kg CO2-eq/t biochar; CML: -2089.65 kg CO2-eq/t biochar </t>
  </si>
  <si>
    <t>2,5 t/t PK</t>
  </si>
  <si>
    <t>N2O, Crop, SOC, fertilizer+</t>
  </si>
  <si>
    <t>Diverse, hier Weizenstroh</t>
  </si>
  <si>
    <t>? -3014 kgCO2/t biochar</t>
  </si>
  <si>
    <t>-1875 kg CO2/t PK</t>
  </si>
  <si>
    <t>CAPEX gesamt</t>
  </si>
  <si>
    <t>Trockner</t>
  </si>
  <si>
    <t>Sonstiges</t>
  </si>
  <si>
    <t>OPEX gesamt</t>
  </si>
  <si>
    <t>Wartung/Instandhaltung</t>
  </si>
  <si>
    <t>Personalkosten</t>
  </si>
  <si>
    <t>Versicherung</t>
  </si>
  <si>
    <t>ca. 11 % der Investitionskosten mit Vorbehandlung und Trocknung</t>
  </si>
  <si>
    <t>10.000 (Bautechnik, Fundamente, Asphalt, Schleppdach)</t>
  </si>
  <si>
    <t>10.000 (Inbetriebsetzung und Nebenkosten) + 5.000 (Montage, Inbetriebnahme, Probebetrieb, Fracht)</t>
  </si>
  <si>
    <t>45.500 (Halle) + 10.000 (Fundament + Bodenplatte)</t>
  </si>
  <si>
    <t>249.600 (Peripherie (Absackstation etc.) + 15.000 (Anschlüsse Wasser,Strom, Internet)</t>
  </si>
  <si>
    <t>145.000 (Substratlager)</t>
  </si>
  <si>
    <t>€/a</t>
  </si>
  <si>
    <t>Radloff</t>
  </si>
  <si>
    <t>Heinrich et al.</t>
  </si>
  <si>
    <t>Spätlesegras</t>
  </si>
  <si>
    <t>3,5 kW</t>
  </si>
  <si>
    <t>%</t>
  </si>
  <si>
    <t>Lebenszeit</t>
  </si>
  <si>
    <t>Technische Anforderungen</t>
  </si>
  <si>
    <t>Energiegehalt &gt; 10 MJ/kg, max. WS 50%, Korngröße &lt; 30mm</t>
  </si>
  <si>
    <t>10 kW</t>
  </si>
  <si>
    <t>45 kW</t>
  </si>
  <si>
    <t>Öffentliche Herstellerangabe</t>
  </si>
  <si>
    <t>PYREG PX500</t>
  </si>
  <si>
    <t>PYREG PX1500</t>
  </si>
  <si>
    <t>BIOMACON C100</t>
  </si>
  <si>
    <t>BIOMACON C160</t>
  </si>
  <si>
    <t>BIOMACON C250</t>
  </si>
  <si>
    <t>BIOMACON C400</t>
  </si>
  <si>
    <t>BIOMACON C500</t>
  </si>
  <si>
    <t>Terytze &amp; Vogel</t>
  </si>
  <si>
    <t>Teichmann</t>
  </si>
  <si>
    <t>Dengel et al.</t>
  </si>
  <si>
    <t>2017 (2013)</t>
  </si>
  <si>
    <t>2015 (2014)</t>
  </si>
  <si>
    <t>Nutzbare Wärmeenergie</t>
  </si>
  <si>
    <t>MWh/a</t>
  </si>
  <si>
    <t>12 kWel</t>
  </si>
  <si>
    <t>40 kWel</t>
  </si>
  <si>
    <t>Forschungsprojekt</t>
  </si>
  <si>
    <t>Terytze et al.</t>
  </si>
  <si>
    <t>Biomasseeigenschaften S. 96, Anlage S. 98, Investitionskosten S. 110, Mengen S. 158</t>
  </si>
  <si>
    <t>Wassergehalt</t>
  </si>
  <si>
    <t>2014 (2011)</t>
  </si>
  <si>
    <t>Art der Biomasse</t>
  </si>
  <si>
    <t>Temperatur</t>
  </si>
  <si>
    <t>Pflanzenkohleertrag</t>
  </si>
  <si>
    <t>MJ / kg</t>
  </si>
  <si>
    <t>Vortrocknung der Gärreste. Keine Wärmesenke vorhanden, deshalb keine Wärmeauskopplung</t>
  </si>
  <si>
    <t>Vortrocknung der Gärreste</t>
  </si>
  <si>
    <t>Commercial-in-confidence</t>
  </si>
  <si>
    <t>Zerkleinerung</t>
  </si>
  <si>
    <t>Pyrolysereaktor</t>
  </si>
  <si>
    <t>20.000 (Kamin)</t>
  </si>
  <si>
    <t>€</t>
  </si>
  <si>
    <t>Haeldermans et al.</t>
  </si>
  <si>
    <t>Kaffeeschalen, Mitteldichte Faserplatten, Palmwedel, Holzmischung, Baumrinde, Olivenkerne</t>
  </si>
  <si>
    <t>5000 kW Gas (StartUp, danach autotherm) + 400 kW Strom</t>
  </si>
  <si>
    <t>Nutzbarer Strom</t>
  </si>
  <si>
    <t>GWh/a</t>
  </si>
  <si>
    <t>Grundstück</t>
  </si>
  <si>
    <t>3.000.000 (Lager &amp; Gebäude)</t>
  </si>
  <si>
    <t>1.200.000 (Grundstück von 15.000m²)</t>
  </si>
  <si>
    <t>6.500.000 (Büro + Laborequipment, Weitere Maschinen)</t>
  </si>
  <si>
    <t>9.000.000 (beinhaltet Planung und Installation, Arbeits- und Transportkosten, Trockner, Zerkleinerer, Pyrolysereaktor, Wärmeauskopplung, Gasturbine, Pflanzenkohleaustrag + -kühlung)</t>
  </si>
  <si>
    <t>867.600 (6% Gesamtinvestment)</t>
  </si>
  <si>
    <t>1.347.200 € (Ungewissheiten [5% Gesamtinvest], Marketing [300k], Telekommunikation [10k], Zertifizierungen/Audits [10k], Accounting [15k], allgemeiner Overhead [2% Gesamtinvest])</t>
  </si>
  <si>
    <t>92.000 (in 9K enthalten)</t>
  </si>
  <si>
    <t xml:space="preserve">Gerstenstroh, Weizenstroh, Rapsstroh, Sägerestholz, Hackschnitzel aus forstwirtschaftlichen Rückständen, kleine runde Holzspäne, Miscanthus </t>
  </si>
  <si>
    <t>oven dry</t>
  </si>
  <si>
    <t>6-7</t>
  </si>
  <si>
    <t>Geben auch MWh/t TM Biomasse an, Zahlen allerdings nicht kongruent. Umwandlung von Syngas/Öl zu Strom mittels Kolbenmotor mit einer Effizienz von 28-42%</t>
  </si>
  <si>
    <t>12-13</t>
  </si>
  <si>
    <t>14-16</t>
  </si>
  <si>
    <t>Roberts et al.</t>
  </si>
  <si>
    <t>2010 (2007)</t>
  </si>
  <si>
    <t>Maisstroh, Gartenabfälle, Rutenhirse als Energiepflanze</t>
  </si>
  <si>
    <t>12-45</t>
  </si>
  <si>
    <t>16-18</t>
  </si>
  <si>
    <t>58 MJ / t TM Biomasse</t>
  </si>
  <si>
    <t>10 t TM Biomasse pro Stunde</t>
  </si>
  <si>
    <t>2011 (2007)</t>
  </si>
  <si>
    <t>Weizenstroh, Gerstenstroh, Rapsstroh, forstwirtschaftliche Rückstände, Baumschnitt, Sägewerksnebenprodukte, Miscanthus, Holzhackschnitzel, Niederwald mit Kurzumtrieb, Switchgrass, Rohrglanzgras, Forstwirtschaft mit Kurzumtrieb, Holzabfälle, Grün- und Gartenabfälle, Klärschlamm, tierische Abfälle, Gemüse- und Lebensmittelabfälle</t>
  </si>
  <si>
    <t>1.564.976 € (Plant operating cost)</t>
  </si>
  <si>
    <t>243.707 € (Pretreatment operating cost)</t>
  </si>
  <si>
    <t>Datenerhebung</t>
  </si>
  <si>
    <t>2022-2023</t>
  </si>
  <si>
    <t>kWth</t>
  </si>
  <si>
    <t>kWel</t>
  </si>
  <si>
    <t>Getrockneter Gärrest</t>
  </si>
  <si>
    <t>500-700</t>
  </si>
  <si>
    <t>Holzhackschnitzel (Nadelholz)</t>
  </si>
  <si>
    <t>bis 850</t>
  </si>
  <si>
    <t>Aus Systemvergleich unterschiedlicher Technologien zur kombinierten Erzeugung von Biokohle und Strom/Wärme (S.224 ff). Bezieht sich auf Pyreg 500</t>
  </si>
  <si>
    <t>Heizwert (Hu)</t>
  </si>
  <si>
    <t>19 (Endwert nach Trocknung unter Kompostvlies)</t>
  </si>
  <si>
    <t>40 (TS, 80% C)</t>
  </si>
  <si>
    <t>t OS/a</t>
  </si>
  <si>
    <t>Landschaftspflegematerial</t>
  </si>
  <si>
    <t>Gärreste</t>
  </si>
  <si>
    <t>bis zu 800</t>
  </si>
  <si>
    <t>Bezieht sich auf Pyreganlage. Werte von 7200 VLS auf 8000 VLS skaliert</t>
  </si>
  <si>
    <t>10 kWel</t>
  </si>
  <si>
    <t>Heizwert &gt; 10 MJ/kg, max. WS 50%, Korngröße &lt; 30mm</t>
  </si>
  <si>
    <t>Wird teilweise zum Vortrocknen eingesetzt</t>
  </si>
  <si>
    <t>Benötigt extra Energie zum Vortrocknen</t>
  </si>
  <si>
    <t>17,9 (ts)</t>
  </si>
  <si>
    <t>19,7 (ts)</t>
  </si>
  <si>
    <t>17 (ts)</t>
  </si>
  <si>
    <t>16,8 (ts)</t>
  </si>
  <si>
    <t>39 (ts)</t>
  </si>
  <si>
    <t>23 (ts)</t>
  </si>
  <si>
    <t>10 (ts)</t>
  </si>
  <si>
    <t>21 (ts)</t>
  </si>
  <si>
    <t>46 (ts)</t>
  </si>
  <si>
    <t>32 (ts)</t>
  </si>
  <si>
    <t>33 (ts)</t>
  </si>
  <si>
    <t>~500</t>
  </si>
  <si>
    <t>Eigene Berechnung der Wärmeauskopplung auf Basis von 9,1 MJ/kg TS für Stroh + Wirkungsgrad der Auskopplung von 80% (Teichmann (a), Table21, S. 32, Spalte 11)</t>
  </si>
  <si>
    <t>Eigene Berechnung der Wärmeauskopplung auf Basis von 10,2 MJ/kg TS für Waldrestholz + Wirkungsgrad der Auskopplung von 80% (Teichmann (a), Table21, S. 32, Spalte 11)</t>
  </si>
  <si>
    <t>58823,6 (b)</t>
  </si>
  <si>
    <t>Annahme</t>
  </si>
  <si>
    <t>Holzhackschnitzel aus Stammholz und Astschnitt</t>
  </si>
  <si>
    <t>Vorwiegend holzartige Biomassen, Untermischung von halmartigen Biomassen, erhöhte Feuchte-, Asche- und Inertanteile begrenzt möglich</t>
  </si>
  <si>
    <t>Mischung aus getrocknetem Gärreste, Stroh, Hackschnitzel aus Landschaftspflegematerial</t>
  </si>
  <si>
    <t>20 (getrockneter Gärrest)
35 (Hackschnitzel aus Landschaftspflegematerial
0 (Stroh)</t>
  </si>
  <si>
    <t>18 (Brennwert)</t>
  </si>
  <si>
    <t>6480 - 8880</t>
  </si>
  <si>
    <t>27-37</t>
  </si>
  <si>
    <t>15120-17520</t>
  </si>
  <si>
    <t>0,63-0,73</t>
  </si>
  <si>
    <t>14,5-16,8</t>
  </si>
  <si>
    <t>x</t>
  </si>
  <si>
    <t>a</t>
  </si>
  <si>
    <t>°C</t>
  </si>
  <si>
    <t>MJ/kg</t>
  </si>
  <si>
    <t>10% der erzeugten Energie</t>
  </si>
  <si>
    <t>(a), erläutert im Hinweis</t>
  </si>
  <si>
    <t>11.500 (Servicevertrag)</t>
  </si>
  <si>
    <t>Biomasse- + Pflanzenkohleeigenschaften: Teichmann (a), Tabelle 8 S. 56
Wärmeauskopplung: Teichmann (a), Tabelle 19, S. 29
Investmentkosten: Teichmann (b), Tabelle S.1
Betriebskosten: Teichmann (c) Tabelle 18, S.54</t>
  </si>
  <si>
    <t>Eigene Berechnung Betriebskosten basierend auf: 38,8 €/t TM (small), 44,1 €/t TM (medium), 3,6 €/t TM (large)</t>
  </si>
  <si>
    <t>PK Produktion</t>
  </si>
  <si>
    <t>t / a</t>
  </si>
  <si>
    <t>Währungs-jahr</t>
  </si>
  <si>
    <t>2.626.779 (Pretreatment capital cost)</t>
  </si>
  <si>
    <t>7.734.404 (Plant capital cost)</t>
  </si>
  <si>
    <t>&gt; 2000 € je installierter kWth (ohne Vorbehandlung, Trocknung, Schnittstellen zur Strom-/ Wärmeauskoppelung)</t>
  </si>
  <si>
    <t>Eigene Berechnung der Betriebskosten aus Quellenangaben</t>
  </si>
  <si>
    <t>Wartung/Instandhaltung gemäß Quellenangabe berechnet als 2% der Investitionskosten</t>
  </si>
  <si>
    <t>Originalkosten in 2007 USD sind mit einem Wechselkurs von 1,3705 (Quelle: Devisenkursstatistik Bundesbank 2008) in 2007 € umgerechnet
OPEX sind über USD/t Biomasseinput verrechnet und in € konvertiert, Daten in Tabelle 6, S. 345</t>
  </si>
  <si>
    <t>In € 2007. 1,3705 Wechselkurs € to USD verwendet, siehe Shackley.</t>
  </si>
  <si>
    <t>S.212-213, 224 ff</t>
  </si>
  <si>
    <t>S.51 ff</t>
  </si>
  <si>
    <t>Biomasse</t>
  </si>
  <si>
    <t>Abkürzung</t>
  </si>
  <si>
    <t>Bezeichnung</t>
  </si>
  <si>
    <t>Weitere Angaben</t>
  </si>
  <si>
    <t>Herkunft</t>
  </si>
  <si>
    <t>Investmentkosten: S.344, Betriebskosten: S. 345</t>
  </si>
  <si>
    <t>https://www.biomacon.com/downloads</t>
  </si>
  <si>
    <t>https://pyreg.com/de/downloads/</t>
  </si>
  <si>
    <t>Heruntergeladen Januar 2023</t>
  </si>
  <si>
    <t>150 kW</t>
  </si>
  <si>
    <t>Ertrag, N2O, CH4</t>
  </si>
  <si>
    <t>im Mittel 18 % des ursprünglich enthaltenem CO2</t>
  </si>
  <si>
    <t>Weiden Holzschnitzel</t>
  </si>
  <si>
    <t>436,85 kWh/t PK</t>
  </si>
  <si>
    <t>223 kWh/t PK</t>
  </si>
  <si>
    <t>-2832 kg CO2 eq/t PK</t>
  </si>
  <si>
    <t>-114 kg CO2/t PK</t>
  </si>
  <si>
    <t>2,5 GJ</t>
  </si>
  <si>
    <t>MWh</t>
  </si>
  <si>
    <t>1511 kWh/ha</t>
  </si>
  <si>
    <t>171 kg CO2/dry seed</t>
  </si>
  <si>
    <t>Technische Aspekte von Pflanzenkohle</t>
  </si>
  <si>
    <t>Ökonomische Aspekte von Pflanzenkohle</t>
  </si>
  <si>
    <t>Ökologische Aspekte von Pflanzenkohle</t>
  </si>
  <si>
    <t>fyi-landgewinn.de</t>
  </si>
  <si>
    <t>Quellen</t>
  </si>
  <si>
    <t>for your information</t>
  </si>
  <si>
    <t>Pflanzenkohle als C-Senke:</t>
  </si>
  <si>
    <t>Tel. +49-30-884594-46</t>
  </si>
  <si>
    <t>clara.lenk@ioew.de</t>
  </si>
  <si>
    <t>Tel. +49-30-884594-66</t>
  </si>
  <si>
    <t>elmar.zozmann@ioew.de</t>
  </si>
  <si>
    <t>www.ioew.de</t>
  </si>
  <si>
    <t>533,33 kWh/t PK</t>
  </si>
  <si>
    <t>280,56 kWh/t PK</t>
  </si>
  <si>
    <t>N2O, Dünger</t>
  </si>
  <si>
    <t>0,37 vermiedene t Erdgas/t PK</t>
  </si>
  <si>
    <t>Clara Lenk (Ansprechpartnerin Ökologische Aspekte)</t>
  </si>
  <si>
    <t>Elmar Zozmann (Ansprechpartner Technische und Ökonomische Aspekte)</t>
  </si>
  <si>
    <t>Strom: 148 kWh/t PK
Gas: 24 kWh/t PK</t>
  </si>
  <si>
    <t>1844 kWh/t PK</t>
  </si>
  <si>
    <t>Technologie Steckbrief</t>
  </si>
  <si>
    <t>Heinrich &amp; Heinrich</t>
  </si>
  <si>
    <t>3,1 kWel</t>
  </si>
  <si>
    <t>663 - 807</t>
  </si>
  <si>
    <t>Entwässerter und getrockneter Klärschlamm</t>
  </si>
  <si>
    <t>286.127 (Fördertechnik)</t>
  </si>
  <si>
    <t>876.231 (Pyrolyseanlage, zweistraßig, mit Vorversuchen)</t>
  </si>
  <si>
    <t>424.943 (Mikrogasturbine mit Gas-Wasser-Wärmeübertrager)</t>
  </si>
  <si>
    <t>620.052 (Zweikammer-Trocknungsanlage mit Pelletierer und Trichtersilos) + 329.642 (Hochleistungs-Dekantierzentrifuge) + 45.720 (FHM-Dosieranlage)</t>
  </si>
  <si>
    <t>Biomassesubstratlager</t>
  </si>
  <si>
    <t>Halle/Container für Pyrolyseanlage</t>
  </si>
  <si>
    <t>801.041 (Industriehalle - Hoch- und Tiefbau mit Rohrleitungen)</t>
  </si>
  <si>
    <t>238.368 (Heizungstechnik) + 272.528 (EMSR-Anbindung Maschinentechnik) + 49.263 (Anbindung an SPS) + 436.390 (USV Batteriecontainer) + 32.121 (Einträgerlaufkran) + 6.435 (Straßenbeleuchtung))</t>
  </si>
  <si>
    <t>Bereits in einzelnen Kostenpositionen enthalten: 692.971 (Planungsleistungen) + 38.489 (Versuche, Gutachten, Analysen)</t>
  </si>
  <si>
    <t>Kosten in Tabelle 6 auf S. 320. Hohe Kosten aufgrund von Hochpreisphase im Bau + Innovationscharakter und weitere projektspezifische Faktoren. Rechnet damit, dass insgesamt mit ca. 50% der Kosten auszukommen wäre und 15% für Baunebenkosten ausreichen.</t>
  </si>
  <si>
    <t>Datensteckbreif SAmpSONS</t>
  </si>
  <si>
    <t>h</t>
  </si>
  <si>
    <t>Radloff, Sophia (2016): Modellgestützte Bewertung der Nutzung von  Biokohle als Bodenzusatz in der Landwirtschaft. Karlsruhe: Karlsruher Instituts für Technologie (KIT), 18. April.</t>
  </si>
  <si>
    <t>Radloff, 2016</t>
  </si>
  <si>
    <t>Teichmann a</t>
  </si>
  <si>
    <t>Teichmann, Isabel (2014): Technical Greenhouse-Gas  Mitigation Potentials of Biochar  Soil Incorporation in Germany. Berlin: Deutsches Institut für Wirtschaftsforschung (DIW).</t>
  </si>
  <si>
    <t>Teichmann, 2014</t>
  </si>
  <si>
    <t>Teichmann, Isabel (2015): An economic assessment of soil carbon sequestration with biochar in Germany: Data documentation. Berlin: Deutsches Institut für Wirtschaftsforschung (DIW).</t>
  </si>
  <si>
    <t>Teichmann, 2015</t>
  </si>
  <si>
    <t>Teichmann b, c</t>
  </si>
  <si>
    <t>Dengel, Dr. Andreas, Dr. Bodo Groß und Jasmin Außendorf (2016): Thermische Nutzung von getrocknetem Gärrest. Graz, Österreich.</t>
  </si>
  <si>
    <t>Dengel et al., 2016</t>
  </si>
  <si>
    <t>Thers et al., 2019</t>
  </si>
  <si>
    <t>Puettmann et al., 2020 (ground, clean)</t>
  </si>
  <si>
    <t>Mohammadi et al., 2019</t>
  </si>
  <si>
    <t>Llorach-Massana et al., 2017 (pilot scale)</t>
  </si>
  <si>
    <t>Leppäkoski et al., 2021</t>
  </si>
  <si>
    <t>Lefebvre et al., 2021</t>
  </si>
  <si>
    <t>Ibarrola et al., 2011</t>
  </si>
  <si>
    <t>Hersh et al., 2019</t>
  </si>
  <si>
    <t>Hammond et al., 2011 (medium scale, wheat straw)</t>
  </si>
  <si>
    <t>(medium scale, wheat straw)</t>
  </si>
  <si>
    <t>(pilot scale)</t>
  </si>
  <si>
    <t xml:space="preserve">Llorach-Massana et al., 2017 </t>
  </si>
  <si>
    <t xml:space="preserve">Puettmann et al., 2020 </t>
  </si>
  <si>
    <t>(ground, clean)</t>
  </si>
  <si>
    <t>Karpenstein &amp; Bauböck, 2021</t>
  </si>
  <si>
    <t>Shackley et al., 2011</t>
  </si>
  <si>
    <t>Heinrich, Thomas, Hyunjin Park, Richard Orozco, Zhengqiu Ding, Vanessa Álvarez-López, María Rosa Mosquera-Losada, Leopold Steinbeis und Thomas Hoffmann (2023): Biochar production from late-harvest grass – Challenges and potential for farm-scale implementation. Sustainable Production and Consumption 37 (Mai): 256–267.</t>
  </si>
  <si>
    <t>Heinrich et al., 2023</t>
  </si>
  <si>
    <t>Haeldermans et al., 2020</t>
  </si>
  <si>
    <t>Hammond et al., 2011</t>
  </si>
  <si>
    <t>Roberts et al., 2010</t>
  </si>
  <si>
    <t>Rajabi Hamedani et al., 2019</t>
  </si>
  <si>
    <t>Radloff et al., 2016</t>
  </si>
  <si>
    <t>Hersh, Benjamin und Amin Mirkouei (2019): Life Cycle Assessment of Pyrolysis-Derived Biochar From Organic Wastes and Advanced Feedstocks. In: Volume 4: 24th Design for Manufacturing and the Life Cycle Conference; 13th International Conference on Micro- and Nanosystems, S. V004T05A014. Veranstaltung: ASME 2019 International Design Engineering Technical Conferences and Computers and Information in Engineering Conference, 18. August, Anaheim, California, USA. https://asmedigitalcollection.asme.org/IDETC-CIE/proceedings/IDETC-CIE2019/59223/Anaheim,%20California,%20USA/1069895.</t>
  </si>
  <si>
    <t xml:space="preserve">Karpenstein &amp; Bauböck </t>
  </si>
  <si>
    <t>Terytze, Prof. Dr. mult. Dr. h. c. Konstantin und Dr. Ines Vogel (2017): Biokohle und Biokohlekomposte zur nachhaltigen und klimafreundlichen Sanierung und Inwertsetzung militärischer Konversionsflächen und  ertragsschwacher Standorte - Handlungsanleitung zur Wertschöpfung organischer Reststoffe. Berlin.</t>
  </si>
  <si>
    <t>Terytze &amp; Vogel, 2017</t>
  </si>
  <si>
    <t>Terytze, Prof. Dr. mult. Dr. h. c. Konstantin, Dr. Robert Wagner, Dipl.-Geogr. René Schatten, Dipl.-Geogr. Kathrin Rößler und Dipl.-Biol. Nadine König (2015): Schließung von Kreisläufen durch Energie- und Stoffstrommanagement bei Nutzung der Terra-Preta-Technologie im Botanischen Garten im Hinblick auf Ressourceneffizienz und Klimaschutz – Modellprojekt Urban farming (TerraBoGa). Berlin: Freie Universität Berlin.</t>
  </si>
  <si>
    <t>Terytze et al., 2015</t>
  </si>
  <si>
    <t>BIOMACON (2021): C100-F.</t>
  </si>
  <si>
    <t>BIOMACON, 2021</t>
  </si>
  <si>
    <t>BIOMACON (2021): C160-F.</t>
  </si>
  <si>
    <t>BIOMACON (2021): C250-I.</t>
  </si>
  <si>
    <t>BIOMACON (2021): C400-I.</t>
  </si>
  <si>
    <t>BIOMACON (2021): C500-I.</t>
  </si>
  <si>
    <t>PYREG (2022): BIOMASSE RECYCLING - VON DER NATUR INSPIRIERT - PX500; PX1500.</t>
  </si>
  <si>
    <t>PYREG, 2022</t>
  </si>
  <si>
    <t>Zinati, Tayebeh, Malte Kraus, Matthias Schulz und Marcel Rensmann (2021): Daten-Steckbriefe in SAmpSONS2Excel.</t>
  </si>
  <si>
    <t>Zinati et al., 2021</t>
  </si>
  <si>
    <t>PK</t>
  </si>
  <si>
    <t>Pflanzenkohle</t>
  </si>
  <si>
    <t>0,5 MWh/odt Biomasse</t>
  </si>
  <si>
    <t>BM</t>
  </si>
  <si>
    <t>8,8 kWh/kg BM</t>
  </si>
  <si>
    <t>0,126 kWh/kg BM</t>
  </si>
  <si>
    <t>0,6 MWh/t BM</t>
  </si>
  <si>
    <t>0,11 kWh/kg BM</t>
  </si>
  <si>
    <t>4,9 MJ/kg BM</t>
  </si>
  <si>
    <t>-0,79 t CO2/t BM</t>
  </si>
  <si>
    <t>3,6 t CO2/ha BM</t>
  </si>
  <si>
    <t>Heinrich &amp; Heinrich 2021</t>
  </si>
  <si>
    <t>413 kWh/kg BM</t>
  </si>
  <si>
    <t>3,1 kW</t>
  </si>
  <si>
    <t>58 MJ/t BM</t>
  </si>
  <si>
    <t>Abkürzungen</t>
  </si>
  <si>
    <t>N2O</t>
  </si>
  <si>
    <t>Dünger, SOC, N2O</t>
  </si>
  <si>
    <t>Ertrag, SOC, Dünger, N2O</t>
  </si>
  <si>
    <t>-0,34 t CO2/ t BM(TS)</t>
  </si>
  <si>
    <t>Biomassebezogene Daten</t>
  </si>
  <si>
    <t>Anlagenbezogene Daten</t>
  </si>
  <si>
    <t>Outputbezogene Daten</t>
  </si>
  <si>
    <t>2016 (2014)</t>
  </si>
  <si>
    <t>Energiebedarf</t>
  </si>
  <si>
    <t>Pyrolysegas-ertrag</t>
  </si>
  <si>
    <t xml:space="preserve">Thermische Nennleistung </t>
  </si>
  <si>
    <t>min. 10 MJ/kg</t>
  </si>
  <si>
    <t>max. Wassergehalt 35%, ligninhaltige Biomasse</t>
  </si>
  <si>
    <t>Anlage: Biomacon C63-F. Brennstoffnutzungsgrad basierend auf Nutzwärme von 6,3 MJ/kg im Verhältnis zum Brennwert 18 MJ/kg. Originalangaben skaliert von 6000 VLS auf 8000 VLS</t>
  </si>
  <si>
    <t>t/ha</t>
  </si>
  <si>
    <t>Kilowatt elektrisch</t>
  </si>
  <si>
    <t>Kilowatt thermisch</t>
  </si>
  <si>
    <t>kWh</t>
  </si>
  <si>
    <t>Kilowattstunde</t>
  </si>
  <si>
    <t>Megawattstunde</t>
  </si>
  <si>
    <t>MJ</t>
  </si>
  <si>
    <t>Megajoule</t>
  </si>
  <si>
    <t>TS</t>
  </si>
  <si>
    <t>Trockensubstanz</t>
  </si>
  <si>
    <t>OS</t>
  </si>
  <si>
    <t>Originalsubstanz</t>
  </si>
  <si>
    <t>Einheiten</t>
  </si>
  <si>
    <t>Werte basierend auf 8000 VLS skaliert</t>
  </si>
  <si>
    <t>50.000 (Schredder/ Sieb)</t>
  </si>
  <si>
    <t>61.000 (Aufbauarbeiten, Peripherie, Planung, Transport, Elektroarbeiten, Reserve, Beratungshonorar Gesamtplanung)</t>
  </si>
  <si>
    <t>Fördertechnik</t>
  </si>
  <si>
    <t>Betriebskosten</t>
  </si>
  <si>
    <t>Technische Daten (übernommen aus Tabellenblatt Technisch)</t>
  </si>
  <si>
    <t>Zinati et al. - Datensteckbrief Sampsons 2</t>
  </si>
  <si>
    <t>Volllaststunden</t>
  </si>
  <si>
    <t>Biomasse Input</t>
  </si>
  <si>
    <t xml:space="preserve">Energieverbrauch Anlage </t>
  </si>
  <si>
    <t>Ertrag PK</t>
  </si>
  <si>
    <t>PK Applikationsrate</t>
  </si>
  <si>
    <t>Kohlenstoffgehalt</t>
  </si>
  <si>
    <t>PK Stabilität</t>
  </si>
  <si>
    <t>technische, ökonomische und</t>
  </si>
  <si>
    <t>ökologische Aspekte</t>
  </si>
  <si>
    <t>Datenzusammenstellung zur Herstellung 
von Pflanzenkohle durch Pyrolyse</t>
  </si>
  <si>
    <t>Prozesskonfigurationen für Pyrolyseanlagen</t>
  </si>
  <si>
    <t>Inhalt der Landgewinn-Datenzusammenstellung:</t>
  </si>
  <si>
    <t>kg TS/h</t>
  </si>
  <si>
    <t>€/kWel</t>
  </si>
  <si>
    <t>Umwandlung von Synthesegas zu Strom mit Effizienz von 35%. Energie aus Pyrolyseöl wird zum Vortrocknen angenommen. Angaben zum Pyrolyseöl- und Pyrolysegasertrag: Eigentlich Daten vom BEAT2 Modell. Wird allerdings hier verwendet, da die Ergebnisse im Papier damit validiert wurden und auf ein ähnliches Ergebnis wie die Erfahrungswerte gekommen wird. Erfahrungswerte sind aus der Industrie, werden aber als vertraulich angegeben.</t>
  </si>
  <si>
    <t>Umwandlung von Synthesegas zu Strom mit Effizienz von 35%. Energie aus Pyrolyseöl wird zum Vortrocknen angenommen. Notwendige Energie zum Vortrocknen bezieht sich auf die Energie, die zur Trocknung des Ausgangsmaterials und zum Antrieb des Pyrolyseprozesses und anderer Vorgänge verwendet wird, als Anteil an der Gesamtenergie im Bioöl und Synthesegas. Der Wert kann je nach Feuchtigkeit und Systemkonfiguration erheblich variieren. Angaben zum Pyrolyseöl- und Pyrolysegasertrag: Eigentlich Daten vom BEAT2 Modell. Wird allerdings hier verwendet, da die Ergebnisse im Papier damit validiert wurden und auf ein ähnliches Ergebnis wie die Erfahrungswerte gekommen wird. Erfahrungswerte sind aus der Industrie, werden aber als vertraulich angegeben.</t>
  </si>
  <si>
    <t>Erklärungen</t>
  </si>
  <si>
    <t>Jahr bezieht sich auf das Datum der Veröffentlichung. Wenn das Datum der Kostendaten der Anlage bekannt ist (im Falle von Literaturwerten), steht es in Klammern dahinter.</t>
  </si>
  <si>
    <t>Energiebezogene Daten</t>
  </si>
  <si>
    <t>Negative Auskopplung bedeutet Energiebedarf für Trocknung. Berechnung des Energiebedarfs auf Basis von -1,2 MJ/kg TS für Klärschlamm (Teichmann (a), Table21, S. 32, Spalte 11)</t>
  </si>
  <si>
    <t>Negative Auskopplung bedeutet Energiebedarf für Trocknung. Berechnung des Energiebedarfs auf Basis von -3,3 MJ/kg TS für Gärreste (Teichmann (a), Table21, S. 32, Spalte 11)</t>
  </si>
  <si>
    <t>12 - 30</t>
  </si>
  <si>
    <t>23040-23704</t>
  </si>
  <si>
    <t>29-30</t>
  </si>
  <si>
    <t>13,6-15,8 (a)</t>
  </si>
  <si>
    <t>0,4-0,5</t>
  </si>
  <si>
    <t>7,9-9,9</t>
  </si>
  <si>
    <t>48,1-60,9</t>
  </si>
  <si>
    <t>Bezieht sich auf Pyreganlage. Werte von 7200 VLS auf 8000 VLS skaliert. Thermischer Brennstoffausnutzungsgrad selbst berechnet unter Annahme (a) von 18 MJ / kg TS (Biomasse)</t>
  </si>
  <si>
    <t>Werte skaliert auf 8000 VLS. Heizwert der PK: Bandbreite der Heizwerte von allen durchgeführten Versuchen. Andere Werte geben Fahrweise nach Optimierung an. Thermischer Brennstoffausnutzungsgrad selbst berechnet unter Annahme (a) von 18 MJ / kg TS (Biomasse)</t>
  </si>
  <si>
    <t>BIOMACON C160-3.  Daten auf S. 307-311. Werte pro Stunde unter Annahme von 8000 VLS hochskaliert. Thermische Nennleistung bezieht sich auf 84°C Warmwasser; Nutzbare Wärmeenergie sind 1,4 kWh/kg TS</t>
  </si>
  <si>
    <t>120 (19% C)</t>
  </si>
  <si>
    <t>Umwandlung von 60-70% des Synthesegas in Strom mit einer Gas Turbine (Effizienz 36-38%). Elektrischer Brennstoffausnutzungsgrad berechnet unter der Annahme (a) eines Heizwertes von 16 MJ/kg TS (Biomasse)</t>
  </si>
  <si>
    <t>1813-2100</t>
  </si>
  <si>
    <t>7,9 (pro Tonne Biomasse)</t>
  </si>
  <si>
    <t>thermische Nutzleistung</t>
  </si>
  <si>
    <t>elektr. Nutzleistung</t>
  </si>
  <si>
    <t>Teichmann (klein)</t>
  </si>
  <si>
    <t>Teichmann (mittel)</t>
  </si>
  <si>
    <t>Teichmann (groß)</t>
  </si>
  <si>
    <t>Shackley et al. (klein)</t>
  </si>
  <si>
    <t>Shackley et al. (mittel)</t>
  </si>
  <si>
    <t>Hammond et al. (klein)</t>
  </si>
  <si>
    <t>Hammond et al. (mittel)</t>
  </si>
  <si>
    <t>Hammond et al. (groß)</t>
  </si>
  <si>
    <t>Shackley et al. (groß)</t>
  </si>
  <si>
    <t>20 (Stahl- und Keramikteile), 10 (Kunststoffteile)</t>
  </si>
  <si>
    <t>610 (26% C)</t>
  </si>
  <si>
    <t>1600 (26% C)</t>
  </si>
  <si>
    <t>12 kWel + 24 kWh (LPG-Gas für Anlagenstarts) je t Karbonisat</t>
  </si>
  <si>
    <t>48 kWel + 31 kWh (LPG-Gas für Anlagenstarts) je t Karbonisat</t>
  </si>
  <si>
    <t>Brennstofaus-nutzungsgrad (th)</t>
  </si>
  <si>
    <t>Brennstoffaus-nutzungsgrad (el)</t>
  </si>
  <si>
    <t>Wärmeaus-kopplung</t>
  </si>
  <si>
    <t>Stromaus-kopplung</t>
  </si>
  <si>
    <t>Zinati et al. - Datensteckbrief Sampsons 2 P500</t>
  </si>
  <si>
    <t>Zinati et al. - Datensteckbrief Sampsons 2 P1500</t>
  </si>
  <si>
    <t>Investitionskosten absolut</t>
  </si>
  <si>
    <t>Investitionskosten spezifisch</t>
  </si>
  <si>
    <t>€/t PK</t>
  </si>
  <si>
    <t>€/kWth (nutz)</t>
  </si>
  <si>
    <t>CAPEX inklusive Kosten für Planung, Ausrüstung, Bau, Bauarbeiten und Inbetriebnahme</t>
  </si>
  <si>
    <t>80.000 € (Inkl. Pesonal, Betriebsmittel und Wartungs-/Instaldhaltungskosten (ohne Stromkosten))</t>
  </si>
  <si>
    <t>250.000 € (Inkl. Pesonal, Betriebsmittel und Wartungs-/Instaldhaltungskosten (ohne Stromkosten))</t>
  </si>
  <si>
    <t>75.000 (Pyreg-interne Planungskosten und inkl. Schulungen, Inbetriebnahme, etc.)</t>
  </si>
  <si>
    <t>50.000 (Pyreg-interne Planungskosten und inkl. Schulungen, Inbetriebnahme, etc.)</t>
  </si>
  <si>
    <t>50.000 (Inkl. Service-Vertrag)</t>
  </si>
  <si>
    <t>100.000 (Inkl. Service-Vertrag)</t>
  </si>
  <si>
    <r>
      <t xml:space="preserve">Karpenstein-Machan, Marianne und Roland Bauböck (2021): Bioenergiedörfer im Wandel. </t>
    </r>
    <r>
      <rPr>
        <i/>
        <sz val="11"/>
        <color theme="1"/>
        <rFont val="Calibri"/>
        <family val="2"/>
        <scheme val="minor"/>
      </rPr>
      <t>Berichte über Landwirtschaft - Zeitschrift für Agrarpolitik und Landwirtschaft</t>
    </r>
    <r>
      <rPr>
        <sz val="11"/>
        <color theme="1"/>
        <rFont val="Calibri"/>
        <family val="2"/>
        <scheme val="minor"/>
      </rPr>
      <t xml:space="preserve"> (22. Oktober): Aktuelle Beiträge.</t>
    </r>
  </si>
  <si>
    <r>
      <t xml:space="preserve">Shackley, Simon, Jim Hammond, John Gaunt und Rodrigo Ibarrola (2011): The feasibility and costs of biochar deployment in the UK. </t>
    </r>
    <r>
      <rPr>
        <i/>
        <sz val="11"/>
        <color theme="1"/>
        <rFont val="Calibri"/>
        <family val="2"/>
        <scheme val="minor"/>
      </rPr>
      <t>Carbon Management</t>
    </r>
    <r>
      <rPr>
        <sz val="11"/>
        <color theme="1"/>
        <rFont val="Calibri"/>
        <family val="2"/>
        <scheme val="minor"/>
      </rPr>
      <t xml:space="preserve"> 2, Nr. 3 (Juni): 335–356.</t>
    </r>
  </si>
  <si>
    <r>
      <t xml:space="preserve">Haeldermans, T., L. Campion, T. Kuppens, K. Vanreppelen, A. Cuypers und S. Schreurs (2020): A comparative techno-economic assessment of biochar production from different residue streams using conventional and microwave pyrolysis. </t>
    </r>
    <r>
      <rPr>
        <i/>
        <sz val="11"/>
        <color theme="1"/>
        <rFont val="Calibri"/>
        <family val="2"/>
        <scheme val="minor"/>
      </rPr>
      <t>Bioresource Technology</t>
    </r>
    <r>
      <rPr>
        <sz val="11"/>
        <color theme="1"/>
        <rFont val="Calibri"/>
        <family val="2"/>
        <scheme val="minor"/>
      </rPr>
      <t xml:space="preserve"> 318 (Dezember): 124083.</t>
    </r>
  </si>
  <si>
    <r>
      <t xml:space="preserve">Hammond, Jim, Simon Shackley, Saran Sohi und Peter Brownsort (2011): Prospective life cycle carbon abatement for pyrolysis biochar systems in the UK. </t>
    </r>
    <r>
      <rPr>
        <i/>
        <sz val="11"/>
        <color theme="1"/>
        <rFont val="Calibri"/>
        <family val="2"/>
        <scheme val="minor"/>
      </rPr>
      <t>Energy Policy</t>
    </r>
    <r>
      <rPr>
        <sz val="11"/>
        <color theme="1"/>
        <rFont val="Calibri"/>
        <family val="2"/>
        <scheme val="minor"/>
      </rPr>
      <t xml:space="preserve"> 39, Nr. 5 (Mai): 2646–2655.</t>
    </r>
  </si>
  <si>
    <r>
      <t xml:space="preserve">Roberts, Kelli G., Brent A. Gloy, Stephen Joseph, Norman R. Scott und Johannes Lehmann (2010): Life Cycle Assessment of Biochar Systems: Estimating the Energetic, Economic, and Climate Change Potential. </t>
    </r>
    <r>
      <rPr>
        <i/>
        <sz val="11"/>
        <color theme="1"/>
        <rFont val="Calibri"/>
        <family val="2"/>
        <scheme val="minor"/>
      </rPr>
      <t>Environmental Science &amp; Technology</t>
    </r>
    <r>
      <rPr>
        <sz val="11"/>
        <color theme="1"/>
        <rFont val="Calibri"/>
        <family val="2"/>
        <scheme val="minor"/>
      </rPr>
      <t xml:space="preserve"> 44, Nr. 2 (15. Januar): 827–833.</t>
    </r>
  </si>
  <si>
    <r>
      <t xml:space="preserve">Rajabi Hamedani, Sara, Tom Kuppens, Robert Malina, Enrico Bocci, Andrea Colantoni und Mauro Villarini (2019): Life Cycle Assessment and Environmental Valuation of Biochar Production: Two Case Studies in Belgium. </t>
    </r>
    <r>
      <rPr>
        <i/>
        <sz val="11"/>
        <color theme="1"/>
        <rFont val="Calibri"/>
        <family val="2"/>
        <scheme val="minor"/>
      </rPr>
      <t>Energies</t>
    </r>
    <r>
      <rPr>
        <sz val="11"/>
        <color theme="1"/>
        <rFont val="Calibri"/>
        <family val="2"/>
        <scheme val="minor"/>
      </rPr>
      <t xml:space="preserve"> 12, Nr. 11 (6. Juni): 2166.</t>
    </r>
  </si>
  <si>
    <r>
      <t xml:space="preserve">Ibarrola, Rodrigo, Simon Shackley und James Hammond (2012): Pyrolysis biochar systems for recovering biodegradable materials: A life cycle carbon assessment. </t>
    </r>
    <r>
      <rPr>
        <i/>
        <sz val="11"/>
        <color theme="1"/>
        <rFont val="Calibri"/>
        <family val="2"/>
        <scheme val="minor"/>
      </rPr>
      <t>Waste Management</t>
    </r>
    <r>
      <rPr>
        <sz val="11"/>
        <color theme="1"/>
        <rFont val="Calibri"/>
        <family val="2"/>
        <scheme val="minor"/>
      </rPr>
      <t xml:space="preserve"> 32, Nr. 5 (Mai): 859–868.</t>
    </r>
  </si>
  <si>
    <r>
      <t xml:space="preserve">Lefebvre, David, Adrian Williams, Guy J.D. Kirk, Jeroen Meersmans, Saran Sohi, Pietro Goglio und Pete Smith (2021): An anticipatory life cycle assessment of the use of biochar from sugarcane residues as a greenhouse gas removal technology. </t>
    </r>
    <r>
      <rPr>
        <i/>
        <sz val="11"/>
        <color theme="1"/>
        <rFont val="Calibri"/>
        <family val="2"/>
        <scheme val="minor"/>
      </rPr>
      <t>Journal of Cleaner Production</t>
    </r>
    <r>
      <rPr>
        <sz val="11"/>
        <color theme="1"/>
        <rFont val="Calibri"/>
        <family val="2"/>
        <scheme val="minor"/>
      </rPr>
      <t xml:space="preserve"> 312 (August): 127764.</t>
    </r>
  </si>
  <si>
    <r>
      <t xml:space="preserve">Leppäkoski, Lauri, Miika P. Marttila, Ville Uusitalo, Jarkko Levänen, Vilma Halonen und Mirja H. Mikkilä (2021): Assessing the Carbon Footprint of Biochar from Willow Grown on Marginal Lands in Finland. </t>
    </r>
    <r>
      <rPr>
        <i/>
        <sz val="11"/>
        <color theme="1"/>
        <rFont val="Calibri"/>
        <family val="2"/>
        <scheme val="minor"/>
      </rPr>
      <t>Sustainability</t>
    </r>
    <r>
      <rPr>
        <sz val="11"/>
        <color theme="1"/>
        <rFont val="Calibri"/>
        <family val="2"/>
        <scheme val="minor"/>
      </rPr>
      <t xml:space="preserve"> 13, Nr. 18 (9. September): 10097.</t>
    </r>
  </si>
  <si>
    <r>
      <t xml:space="preserve">Llorach-Massana, Pere, Elisa Lopez-Capel, Javier Peña, Joan Rieradevall, Juan Ignacio Montero und Neus Puy (2017): Technical feasibility and carbon footprint of biochar co-production with tomato plant residue. </t>
    </r>
    <r>
      <rPr>
        <i/>
        <sz val="11"/>
        <color theme="1"/>
        <rFont val="Calibri"/>
        <family val="2"/>
        <scheme val="minor"/>
      </rPr>
      <t>Waste Management</t>
    </r>
    <r>
      <rPr>
        <sz val="11"/>
        <color theme="1"/>
        <rFont val="Calibri"/>
        <family val="2"/>
        <scheme val="minor"/>
      </rPr>
      <t xml:space="preserve"> 67 (September): 121–130.</t>
    </r>
  </si>
  <si>
    <r>
      <t xml:space="preserve">Mohammadi, Ali, Maria Sandberg, G. Venkatesh, Samieh Eskandari, Tommy Dalgaard, Stephen Joseph und Karin Granström (2019): Environmental analysis of producing biochar and energy recovery from pulp and paper mill biosludge. </t>
    </r>
    <r>
      <rPr>
        <i/>
        <sz val="11"/>
        <color theme="1"/>
        <rFont val="Calibri"/>
        <family val="2"/>
        <scheme val="minor"/>
      </rPr>
      <t>Journal of Industrial Ecology</t>
    </r>
    <r>
      <rPr>
        <sz val="11"/>
        <color theme="1"/>
        <rFont val="Calibri"/>
        <family val="2"/>
        <scheme val="minor"/>
      </rPr>
      <t xml:space="preserve"> 23, Nr. 5 (Oktober): 1039–1051.</t>
    </r>
  </si>
  <si>
    <r>
      <t xml:space="preserve">Puettmann, Maureen, Kamalakanta Sahoo, Kelpie Wilson und Elaine Oneil (2020): Life cycle assessment of biochar produced from forest residues using portable systems. </t>
    </r>
    <r>
      <rPr>
        <i/>
        <sz val="11"/>
        <color theme="1"/>
        <rFont val="Calibri"/>
        <family val="2"/>
        <scheme val="minor"/>
      </rPr>
      <t>Journal of Cleaner Production</t>
    </r>
    <r>
      <rPr>
        <sz val="11"/>
        <color theme="1"/>
        <rFont val="Calibri"/>
        <family val="2"/>
        <scheme val="minor"/>
      </rPr>
      <t xml:space="preserve"> 250 (März): 119564.</t>
    </r>
  </si>
  <si>
    <r>
      <t xml:space="preserve">Thers, Henrik, Sylvestre Njakou Djomo, Lars Elsgaard und Marie Trydeman Knudsen (2019): Biochar potentially mitigates greenhouse gas emissions from cultivation of oilseed rape for biodiesel. </t>
    </r>
    <r>
      <rPr>
        <i/>
        <sz val="11"/>
        <color theme="1"/>
        <rFont val="Calibri"/>
        <family val="2"/>
        <scheme val="minor"/>
      </rPr>
      <t>Science of The Total Environment</t>
    </r>
    <r>
      <rPr>
        <sz val="11"/>
        <color theme="1"/>
        <rFont val="Calibri"/>
        <family val="2"/>
        <scheme val="minor"/>
      </rPr>
      <t xml:space="preserve"> 671 (Juni): 180–188.</t>
    </r>
  </si>
  <si>
    <t>Kohlen-stoffgehalt</t>
  </si>
  <si>
    <t>Heinrich, Karin und Steffen Heinrich (2022): Vom Abfall zum Gartengold: Klärschlammveredlung mit Pyrolyse. Niederfrohna/Sachsen: Mironde Verlag.</t>
  </si>
  <si>
    <t>Weitere Mitarbeit von Hannes Bluhm, Leo Töpperwein und Matilda Wolf</t>
  </si>
  <si>
    <t>m%</t>
  </si>
  <si>
    <t>Verhältnis bezogen auf Masse</t>
  </si>
  <si>
    <t>e%</t>
  </si>
  <si>
    <t>Verhältnis bezogen auf Energie</t>
  </si>
  <si>
    <t>Tabellenblatt Technisch</t>
  </si>
  <si>
    <t>Anlagengröße: Entsprechend Klassifizierung durch European Biochar Industry Consortium (EBI).
Micro: &lt; 100 t PK; Small: 100-199 t PK; Medium: 200-499 t PK; Large: 500-1.999 t PK; Very large: 2.000-4.999 t PK; Industrial: &gt; 5.000 t PK</t>
  </si>
  <si>
    <t>Hu</t>
  </si>
  <si>
    <t>Heizwert</t>
  </si>
  <si>
    <t>GWh</t>
  </si>
  <si>
    <t>Gigawattstunde</t>
  </si>
  <si>
    <t>el</t>
  </si>
  <si>
    <t>th</t>
  </si>
  <si>
    <t>Thermisch</t>
  </si>
  <si>
    <t>Elektrisch</t>
  </si>
  <si>
    <t>ha</t>
  </si>
  <si>
    <t>Hektar</t>
  </si>
  <si>
    <r>
      <rPr>
        <i/>
        <sz val="12"/>
        <color theme="1"/>
        <rFont val="Times New Roman"/>
        <family val="1"/>
      </rPr>
      <t>Vorgehensweise der Recherche:</t>
    </r>
    <r>
      <rPr>
        <sz val="12"/>
        <color theme="1"/>
        <rFont val="Times New Roman"/>
        <family val="1"/>
      </rPr>
      <t xml:space="preserve"> Für die vorliegende Datenzusammenstellung wurden im Jahr 2022/23 bei Pyrolyseanlagenherstellern und -betreibern im deutschsprachigen Raum Primärdaten mittels Fragebogen erhoben. Die Datenerhebung wurde um Angaben aus der Literatur, öffentlichen Herstellerangaben und anderen Forschungsprojekten ergänzt. Die zusammengestellten technischen, ökonomischen und ökologischen Daten sind auf den jeweiligen Tabellenblättern zu finden. Aus Datenschutzgründen werden die Ergebnisse der Datenerhebung als "best guess" in den ersten drei Zeilen der Tabellenblätter zu technischen und ökonomischen Daten dargestellt. "Best guess" bezieht sich hierbei um eine Mittelung der Daten für drei unterschiedliche Anlagengrößen basierend auf einer subjektiven Einschätzung der Qualität der Daten. Weitere Hinweise sind im Begleittext zu finden.</t>
    </r>
  </si>
  <si>
    <r>
      <rPr>
        <i/>
        <sz val="12"/>
        <color theme="1"/>
        <rFont val="Times New Roman"/>
        <family val="1"/>
      </rPr>
      <t>Ziel dieser Datenzusammenstellung</t>
    </r>
    <r>
      <rPr>
        <sz val="12"/>
        <color theme="1"/>
        <rFont val="Times New Roman"/>
        <family val="1"/>
      </rPr>
      <t xml:space="preserve">: Existierende ökonomisch-ökologische Bewertungen zur Herstellung und Anwendung von Pflanzenkohle sind häufig aufgrund ihres Fallstudiencharakters nicht generalisierbar. </t>
    </r>
    <r>
      <rPr>
        <b/>
        <sz val="12"/>
        <color theme="1"/>
        <rFont val="Times New Roman"/>
        <family val="1"/>
      </rPr>
      <t>Um eine aktuelle und generalisierbare Datengrundlage für weitere Analysen zu schaffen, werden in dieser Datenzusammenstellung drei generische Prozesskonfigurationen für die Herstellung und Anwendung von Pflanzenkohle definiert</t>
    </r>
    <r>
      <rPr>
        <sz val="12"/>
        <color theme="1"/>
        <rFont val="Times New Roman"/>
        <family val="1"/>
      </rPr>
      <t xml:space="preserve">. Die Prozesskonfigurationen basieren auf empirisch erhobenen Daten, die um weitere Angaben aus der Literatur ergänzt werden. Ein Begleittext zur Datenzusammenstellung kann auf der Website des Forschungsprojektes heruntergeladen werden (Link siehe oben). </t>
    </r>
  </si>
  <si>
    <t>Gewichtsprozent (bezogen auf die TS)</t>
  </si>
  <si>
    <t>Konversationsrate PK</t>
  </si>
  <si>
    <t>Pyrolyseölertrag</t>
  </si>
  <si>
    <t>Konversionsrate Pyrolysegas</t>
  </si>
  <si>
    <t>Konversionsrate Pyrolyseöl</t>
  </si>
  <si>
    <t xml:space="preserve">t TS / a </t>
  </si>
  <si>
    <t>Biomasseabhängig</t>
  </si>
  <si>
    <t>Anlagenkonfiguration</t>
  </si>
  <si>
    <t>Anwendung</t>
  </si>
  <si>
    <t>Anlagenabhängig</t>
  </si>
  <si>
    <t>Investitionskosten</t>
  </si>
  <si>
    <t>Konversionsrate</t>
  </si>
  <si>
    <t>Heinrich &amp; Heinrich 2022</t>
  </si>
  <si>
    <t>Stroh (pelletiert)</t>
  </si>
  <si>
    <t>Klärschlamm (getrocknet &amp; pelletiert)</t>
  </si>
  <si>
    <t>Bei Verwendung von holzartiger Biomasse (20% Wassergehalt, 18 MJ / kg TS)</t>
  </si>
  <si>
    <t>2% der Investitionskosten</t>
  </si>
  <si>
    <t>80 kWel</t>
  </si>
  <si>
    <t>Thermische Nennleistung (zusätzlich)</t>
  </si>
  <si>
    <t>Holzartig</t>
  </si>
  <si>
    <t>Wartung/Instandhaltung berechnet als 2% der Investitionskosten, Versicherung als 0,5% der Investitionskosten, Personalkosten basierend auf 40 €/h</t>
  </si>
  <si>
    <t>Best guess Datenerhebung Wärme (klein)</t>
  </si>
  <si>
    <t>Investitions-nebenkosten</t>
  </si>
  <si>
    <t>Projektspezifische Wassergehalte und Heizwerte der Biomasse sind zu beachten.</t>
  </si>
  <si>
    <t>Holzhackschnitzel</t>
  </si>
  <si>
    <t>Klärschlamm (getrocknet)</t>
  </si>
  <si>
    <t>PYREG PX6000 (noch in Entwicklung)</t>
  </si>
  <si>
    <t>120 kWel</t>
  </si>
  <si>
    <t>16 kWel</t>
  </si>
  <si>
    <t>48 kWel</t>
  </si>
  <si>
    <t>Werte sind als "Bis zu" gegeben</t>
  </si>
  <si>
    <t>Very lager</t>
  </si>
  <si>
    <t>Absackstation Kohle</t>
  </si>
  <si>
    <t>30.000 (Vorlagebehälter + Eintrag)</t>
  </si>
  <si>
    <t>Inklusive</t>
  </si>
  <si>
    <t>Best guess Datenerhebung Wärme (mittel)</t>
  </si>
  <si>
    <t>Best guess Datenerhebung Wärme + Strom (groß)</t>
  </si>
  <si>
    <t>PK-Ertrag, thermische Nutzleistung und Konversionsrate unter Annahme von holzartiger Biomasse (WS-Gehalt 20%, ca. 18 MJ/kg TS)</t>
  </si>
  <si>
    <t>Exklusive</t>
  </si>
  <si>
    <t>Wärme (mittel)</t>
  </si>
  <si>
    <t>Wärme (klein)</t>
  </si>
  <si>
    <t>Wärme + Strom (groß)</t>
  </si>
  <si>
    <t>Angaben in kWth unter Verwendung von holzartiger Biomasse (20% Wassergehalt, 18 MJ / kg TS). Investitionskosten beziehen sich nur auf die Anlage. Projektspezifisch können noch Kosten für Vorbehandlung/Lagerung/.. Dazukommen.</t>
  </si>
  <si>
    <t>Version 3</t>
  </si>
  <si>
    <t>Best guess Datenerhebung (Klärschlamm)</t>
  </si>
  <si>
    <t>Best guess Datenerhebung (Stroh)</t>
  </si>
  <si>
    <t>Thermische Auskopplung</t>
  </si>
  <si>
    <t>Elektrische Auskopplung</t>
  </si>
  <si>
    <t>Strom: 400 MWh/a, Gas: 50 MWh/a</t>
  </si>
  <si>
    <t>Strom: 640 MWh/a</t>
  </si>
  <si>
    <t>9600 MWh/a</t>
  </si>
  <si>
    <t>1760 MWh/a</t>
  </si>
  <si>
    <t>5250 MWh/a</t>
  </si>
  <si>
    <t>06.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</si>
</sst>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_-* #,##0\ &quot;€&quot;_-;\-* #,##0\ &quot;€&quot;_-;_-* &quot;-&quot;??\ &quot;€&quot;_-;_-@_-"/>
    <numFmt numFmtId="167" formatCode="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20"/>
      <color theme="1"/>
      <name val="Courier New"/>
      <family val="1"/>
    </font>
    <font>
      <u/>
      <sz val="16"/>
      <color theme="10"/>
      <name val="Courier New"/>
      <family val="1"/>
    </font>
    <font>
      <sz val="11"/>
      <color theme="1"/>
      <name val="Times New Roman"/>
      <family val="1"/>
    </font>
    <font>
      <u/>
      <sz val="11"/>
      <color theme="10"/>
      <name val="Times New Roman"/>
      <family val="1"/>
    </font>
    <font>
      <i/>
      <sz val="11"/>
      <color theme="1"/>
      <name val="Times New Roman"/>
      <family val="1"/>
    </font>
    <font>
      <sz val="24"/>
      <color theme="1"/>
      <name val="Courier New"/>
      <family val="3"/>
    </font>
    <font>
      <b/>
      <sz val="10"/>
      <color theme="1"/>
      <name val="Times New Roman"/>
      <family val="1"/>
    </font>
    <font>
      <sz val="10"/>
      <color theme="1"/>
      <name val="Times New Roman"/>
      <family val="1"/>
    </font>
    <font>
      <u/>
      <sz val="12"/>
      <color theme="10"/>
      <name val="Times New Roman"/>
      <family val="1"/>
    </font>
    <font>
      <sz val="11"/>
      <color theme="2" tint="-0.499984740745262"/>
      <name val="Courier New"/>
      <family val="3"/>
    </font>
    <font>
      <sz val="11"/>
      <color theme="1"/>
      <name val="Times"/>
    </font>
    <font>
      <sz val="14"/>
      <color theme="1"/>
      <name val="Courier New"/>
      <family val="3"/>
    </font>
    <font>
      <sz val="11"/>
      <color theme="1"/>
      <name val="Courier New"/>
      <family val="3"/>
    </font>
    <font>
      <b/>
      <sz val="11"/>
      <color theme="1"/>
      <name val="Calibri"/>
      <family val="2"/>
      <scheme val="minor"/>
    </font>
    <font>
      <b/>
      <sz val="11"/>
      <name val="Calibri"/>
      <family val="2"/>
      <scheme val="minor"/>
    </font>
    <font>
      <sz val="10"/>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11"/>
      <name val="Calibri"/>
      <family val="2"/>
      <scheme val="minor"/>
    </font>
    <font>
      <sz val="12"/>
      <color theme="1"/>
      <name val="Times New Roman"/>
      <family val="1"/>
    </font>
    <font>
      <b/>
      <sz val="12"/>
      <color theme="1"/>
      <name val="Times New Roman"/>
      <family val="1"/>
    </font>
    <font>
      <i/>
      <sz val="12"/>
      <color theme="1"/>
      <name val="Times New Roman"/>
      <family val="1"/>
    </font>
    <font>
      <i/>
      <sz val="11"/>
      <name val="Times New Roman"/>
      <family val="1"/>
    </font>
  </fonts>
  <fills count="5">
    <fill>
      <patternFill patternType="none"/>
    </fill>
    <fill>
      <patternFill patternType="gray125"/>
    </fill>
    <fill>
      <patternFill patternType="solid">
        <fgColor theme="5" tint="-0.249977111117893"/>
        <bgColor indexed="64"/>
      </patternFill>
    </fill>
    <fill>
      <patternFill patternType="solid">
        <fgColor rgb="FFDAE580"/>
        <bgColor indexed="64"/>
      </patternFill>
    </fill>
    <fill>
      <patternFill patternType="solid">
        <fgColor rgb="FFE3ECA2"/>
        <bgColor indexed="64"/>
      </patternFill>
    </fill>
  </fills>
  <borders count="10">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Protection="0">
      <alignment horizontal="left"/>
    </xf>
    <xf numFmtId="9" fontId="1" fillId="0" borderId="0" applyFont="0" applyFill="0" applyBorder="0" applyAlignment="0" applyProtection="0"/>
    <xf numFmtId="0" fontId="2" fillId="0" borderId="0" applyNumberFormat="0" applyFill="0" applyBorder="0" applyAlignment="0" applyProtection="0"/>
  </cellStyleXfs>
  <cellXfs count="184">
    <xf numFmtId="0" fontId="0" fillId="0" borderId="0" xfId="0"/>
    <xf numFmtId="0" fontId="0" fillId="3" borderId="0" xfId="0" applyFill="1"/>
    <xf numFmtId="0" fontId="0" fillId="3" borderId="3" xfId="0" applyFill="1" applyBorder="1"/>
    <xf numFmtId="0" fontId="13" fillId="3" borderId="4"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9" fillId="3" borderId="0" xfId="0" applyFont="1" applyFill="1"/>
    <xf numFmtId="0" fontId="12" fillId="3" borderId="0" xfId="3" applyFont="1" applyFill="1" applyAlignment="1">
      <alignment horizontal="left" vertical="top"/>
    </xf>
    <xf numFmtId="0" fontId="10" fillId="3" borderId="0" xfId="0" applyFont="1" applyFill="1"/>
    <xf numFmtId="0" fontId="11" fillId="3" borderId="0" xfId="0" applyFont="1" applyFill="1"/>
    <xf numFmtId="0" fontId="6" fillId="3" borderId="0" xfId="0" applyFont="1" applyFill="1"/>
    <xf numFmtId="0" fontId="8" fillId="3" borderId="0" xfId="0" applyFont="1" applyFill="1"/>
    <xf numFmtId="0" fontId="7" fillId="3" borderId="0" xfId="3" applyFont="1" applyFill="1" applyBorder="1"/>
    <xf numFmtId="0" fontId="0" fillId="3" borderId="8" xfId="0" applyFill="1" applyBorder="1"/>
    <xf numFmtId="0" fontId="0" fillId="3" borderId="2" xfId="0" applyFill="1" applyBorder="1"/>
    <xf numFmtId="0" fontId="0" fillId="3" borderId="9" xfId="0" applyFill="1" applyBorder="1"/>
    <xf numFmtId="0" fontId="2" fillId="3" borderId="0" xfId="3" applyFill="1"/>
    <xf numFmtId="0" fontId="5" fillId="3" borderId="0" xfId="3" applyFont="1" applyFill="1"/>
    <xf numFmtId="0" fontId="14" fillId="0" borderId="0" xfId="0" applyFont="1"/>
    <xf numFmtId="0" fontId="15" fillId="3" borderId="0" xfId="0" applyFont="1" applyFill="1" applyAlignment="1">
      <alignment wrapText="1"/>
    </xf>
    <xf numFmtId="49" fontId="16" fillId="3" borderId="0" xfId="0" applyNumberFormat="1" applyFont="1" applyFill="1"/>
    <xf numFmtId="0" fontId="16" fillId="3" borderId="0" xfId="0" applyFont="1" applyFill="1"/>
    <xf numFmtId="0" fontId="0" fillId="0" borderId="0" xfId="0" applyFont="1"/>
    <xf numFmtId="0" fontId="19" fillId="0" borderId="0" xfId="0" applyFont="1"/>
    <xf numFmtId="0" fontId="17" fillId="3" borderId="0" xfId="0" applyFont="1" applyFill="1" applyBorder="1" applyAlignment="1">
      <alignment wrapText="1"/>
    </xf>
    <xf numFmtId="0" fontId="0" fillId="3" borderId="0" xfId="0" applyFont="1" applyFill="1"/>
    <xf numFmtId="0" fontId="0" fillId="3" borderId="0" xfId="0" applyFont="1" applyFill="1" applyBorder="1" applyAlignment="1">
      <alignment wrapText="1"/>
    </xf>
    <xf numFmtId="0" fontId="0" fillId="3" borderId="7" xfId="0" applyFont="1" applyFill="1" applyBorder="1" applyAlignment="1">
      <alignment wrapText="1"/>
    </xf>
    <xf numFmtId="0" fontId="0" fillId="0" borderId="7" xfId="0" applyFont="1" applyFill="1" applyBorder="1"/>
    <xf numFmtId="0" fontId="0" fillId="0" borderId="0" xfId="0" applyFont="1" applyFill="1" applyBorder="1"/>
    <xf numFmtId="0" fontId="0" fillId="0" borderId="0" xfId="0" applyFont="1" applyFill="1" applyBorder="1" applyAlignment="1">
      <alignment horizontal="left"/>
    </xf>
    <xf numFmtId="164" fontId="0" fillId="0" borderId="0" xfId="0" applyNumberFormat="1" applyFont="1" applyFill="1" applyBorder="1" applyAlignment="1">
      <alignment horizontal="left"/>
    </xf>
    <xf numFmtId="1" fontId="0" fillId="0" borderId="0" xfId="0" applyNumberFormat="1" applyFont="1" applyFill="1" applyBorder="1" applyAlignment="1">
      <alignment horizontal="left"/>
    </xf>
    <xf numFmtId="165" fontId="0" fillId="0" borderId="0" xfId="0" applyNumberFormat="1" applyFont="1" applyFill="1" applyBorder="1"/>
    <xf numFmtId="0" fontId="17" fillId="3" borderId="0" xfId="0" applyFont="1" applyFill="1" applyBorder="1"/>
    <xf numFmtId="0" fontId="17" fillId="3" borderId="7" xfId="0" applyFont="1" applyFill="1" applyBorder="1" applyAlignment="1">
      <alignment wrapText="1"/>
    </xf>
    <xf numFmtId="0" fontId="17" fillId="3" borderId="2" xfId="0" applyFont="1" applyFill="1" applyBorder="1"/>
    <xf numFmtId="0" fontId="21" fillId="3" borderId="2" xfId="0" applyFont="1" applyFill="1" applyBorder="1"/>
    <xf numFmtId="0" fontId="21" fillId="3" borderId="9" xfId="0" applyFont="1" applyFill="1" applyBorder="1"/>
    <xf numFmtId="0" fontId="0" fillId="0" borderId="7" xfId="0" applyFont="1" applyFill="1" applyBorder="1" applyAlignment="1">
      <alignment horizontal="left"/>
    </xf>
    <xf numFmtId="0" fontId="0" fillId="0" borderId="0" xfId="0" applyFont="1" applyFill="1" applyBorder="1" applyAlignment="1">
      <alignment horizontal="left" vertical="top" wrapText="1"/>
    </xf>
    <xf numFmtId="1" fontId="0" fillId="0" borderId="7" xfId="0" applyNumberFormat="1" applyFont="1" applyFill="1" applyBorder="1" applyAlignment="1">
      <alignment horizontal="left"/>
    </xf>
    <xf numFmtId="165" fontId="0" fillId="0" borderId="0" xfId="0" applyNumberFormat="1" applyFont="1" applyFill="1" applyBorder="1" applyAlignment="1">
      <alignment horizontal="left"/>
    </xf>
    <xf numFmtId="2" fontId="0" fillId="0" borderId="0" xfId="0" applyNumberFormat="1" applyFont="1" applyFill="1" applyBorder="1" applyAlignment="1">
      <alignment horizontal="left"/>
    </xf>
    <xf numFmtId="3" fontId="0" fillId="0" borderId="0" xfId="0" applyNumberFormat="1" applyFont="1" applyFill="1" applyBorder="1" applyAlignment="1">
      <alignment horizontal="left"/>
    </xf>
    <xf numFmtId="164" fontId="0" fillId="0" borderId="7" xfId="0" applyNumberFormat="1" applyFont="1" applyFill="1" applyBorder="1" applyAlignment="1">
      <alignment horizontal="left"/>
    </xf>
    <xf numFmtId="17" fontId="0" fillId="0" borderId="0" xfId="0" quotePrefix="1" applyNumberFormat="1" applyFont="1" applyFill="1" applyBorder="1" applyAlignment="1">
      <alignment horizontal="left"/>
    </xf>
    <xf numFmtId="0" fontId="17" fillId="0" borderId="0" xfId="0" applyFont="1" applyFill="1" applyBorder="1"/>
    <xf numFmtId="0" fontId="17" fillId="0" borderId="0" xfId="0" applyFont="1" applyFill="1" applyBorder="1" applyAlignment="1">
      <alignment horizontal="left"/>
    </xf>
    <xf numFmtId="0" fontId="17" fillId="0" borderId="7" xfId="0" applyFont="1" applyFill="1" applyBorder="1" applyAlignment="1">
      <alignment horizontal="left"/>
    </xf>
    <xf numFmtId="1" fontId="17" fillId="0" borderId="0" xfId="0" applyNumberFormat="1" applyFont="1" applyFill="1" applyBorder="1" applyAlignment="1">
      <alignment horizontal="left"/>
    </xf>
    <xf numFmtId="0" fontId="17" fillId="0" borderId="0" xfId="0" quotePrefix="1" applyFont="1" applyFill="1" applyBorder="1" applyAlignment="1">
      <alignment horizontal="left"/>
    </xf>
    <xf numFmtId="0" fontId="17" fillId="0" borderId="0" xfId="0" applyFont="1" applyFill="1" applyBorder="1" applyAlignment="1">
      <alignment horizontal="left" vertical="top" wrapText="1"/>
    </xf>
    <xf numFmtId="1" fontId="17" fillId="0" borderId="7" xfId="0" applyNumberFormat="1" applyFont="1" applyFill="1" applyBorder="1" applyAlignment="1">
      <alignment horizontal="left"/>
    </xf>
    <xf numFmtId="165" fontId="17" fillId="0" borderId="0" xfId="0" applyNumberFormat="1" applyFont="1" applyFill="1" applyBorder="1" applyAlignment="1">
      <alignment horizontal="left"/>
    </xf>
    <xf numFmtId="0" fontId="17" fillId="3" borderId="6" xfId="0" applyFont="1" applyFill="1" applyBorder="1" applyAlignment="1">
      <alignment wrapText="1"/>
    </xf>
    <xf numFmtId="0" fontId="0" fillId="3" borderId="6" xfId="0" applyFont="1" applyFill="1" applyBorder="1" applyAlignment="1">
      <alignment wrapText="1"/>
    </xf>
    <xf numFmtId="0" fontId="21" fillId="3" borderId="8" xfId="0" applyFont="1" applyFill="1" applyBorder="1"/>
    <xf numFmtId="0" fontId="17" fillId="0" borderId="6" xfId="0" applyFont="1" applyFill="1" applyBorder="1" applyAlignment="1">
      <alignment horizontal="left"/>
    </xf>
    <xf numFmtId="0" fontId="0" fillId="0" borderId="6" xfId="0" applyFont="1" applyFill="1" applyBorder="1"/>
    <xf numFmtId="1" fontId="0" fillId="0" borderId="6" xfId="0" applyNumberFormat="1" applyFont="1" applyFill="1" applyBorder="1" applyAlignment="1">
      <alignment horizontal="left"/>
    </xf>
    <xf numFmtId="4" fontId="0" fillId="0" borderId="6" xfId="0" applyNumberFormat="1" applyFont="1" applyFill="1" applyBorder="1" applyAlignment="1">
      <alignment horizontal="left"/>
    </xf>
    <xf numFmtId="164" fontId="0" fillId="0" borderId="6" xfId="0" applyNumberFormat="1" applyFont="1" applyFill="1" applyBorder="1" applyAlignment="1">
      <alignment horizontal="left"/>
    </xf>
    <xf numFmtId="0" fontId="17" fillId="3" borderId="2" xfId="0" applyFont="1" applyFill="1" applyBorder="1" applyAlignment="1">
      <alignment wrapText="1"/>
    </xf>
    <xf numFmtId="0" fontId="0" fillId="0" borderId="0" xfId="0" applyFont="1" applyAlignment="1">
      <alignment horizontal="center" vertical="center"/>
    </xf>
    <xf numFmtId="0" fontId="0" fillId="0" borderId="0" xfId="0" applyFont="1" applyAlignment="1">
      <alignment wrapText="1"/>
    </xf>
    <xf numFmtId="9" fontId="0" fillId="0" borderId="0" xfId="2" applyFont="1" applyFill="1" applyBorder="1"/>
    <xf numFmtId="0" fontId="0" fillId="0" borderId="0" xfId="2" applyNumberFormat="1" applyFont="1" applyFill="1" applyBorder="1"/>
    <xf numFmtId="0" fontId="21" fillId="4" borderId="0" xfId="0" applyFont="1" applyFill="1"/>
    <xf numFmtId="2" fontId="21" fillId="4" borderId="0" xfId="0" applyNumberFormat="1" applyFont="1" applyFill="1"/>
    <xf numFmtId="44" fontId="0" fillId="0" borderId="0" xfId="1" applyFont="1" applyFill="1" applyBorder="1">
      <alignment horizontal="left"/>
    </xf>
    <xf numFmtId="166" fontId="0" fillId="0" borderId="0" xfId="1" applyNumberFormat="1" applyFont="1" applyAlignment="1">
      <alignment horizontal="center" vertical="center"/>
    </xf>
    <xf numFmtId="0" fontId="17" fillId="0" borderId="0" xfId="0" applyFont="1" applyFill="1" applyBorder="1" applyAlignment="1"/>
    <xf numFmtId="0" fontId="17" fillId="0" borderId="7" xfId="0" applyFont="1" applyFill="1" applyBorder="1" applyAlignment="1"/>
    <xf numFmtId="0" fontId="17" fillId="0" borderId="6" xfId="0" applyFont="1" applyFill="1" applyBorder="1" applyAlignment="1"/>
    <xf numFmtId="0" fontId="17" fillId="0" borderId="0" xfId="0" applyFont="1" applyAlignment="1">
      <alignment horizontal="left" vertical="center"/>
    </xf>
    <xf numFmtId="0" fontId="17" fillId="0" borderId="6" xfId="0" applyFont="1" applyBorder="1" applyAlignment="1">
      <alignment horizontal="left" vertical="center"/>
    </xf>
    <xf numFmtId="0" fontId="0" fillId="3" borderId="0" xfId="0" applyFont="1" applyFill="1" applyBorder="1"/>
    <xf numFmtId="1" fontId="0" fillId="0" borderId="6" xfId="0" applyNumberFormat="1" applyFont="1" applyFill="1" applyBorder="1" applyAlignment="1"/>
    <xf numFmtId="0" fontId="17" fillId="3" borderId="0" xfId="0" applyNumberFormat="1" applyFont="1" applyFill="1" applyBorder="1" applyAlignment="1">
      <alignment wrapText="1"/>
    </xf>
    <xf numFmtId="0" fontId="0" fillId="3" borderId="0" xfId="0" applyNumberFormat="1" applyFont="1" applyFill="1" applyBorder="1" applyAlignment="1">
      <alignment wrapText="1"/>
    </xf>
    <xf numFmtId="0" fontId="21" fillId="3" borderId="2" xfId="0" applyNumberFormat="1" applyFont="1" applyFill="1" applyBorder="1"/>
    <xf numFmtId="0" fontId="17" fillId="0" borderId="0" xfId="0" applyNumberFormat="1" applyFont="1" applyAlignment="1">
      <alignment horizontal="left" vertical="center"/>
    </xf>
    <xf numFmtId="0" fontId="0" fillId="0" borderId="0" xfId="0" applyNumberFormat="1" applyFont="1" applyFill="1" applyBorder="1" applyAlignment="1">
      <alignment horizontal="left"/>
    </xf>
    <xf numFmtId="0" fontId="0" fillId="0" borderId="0" xfId="0" applyNumberFormat="1" applyFont="1" applyFill="1" applyBorder="1"/>
    <xf numFmtId="167" fontId="0" fillId="0" borderId="0" xfId="0" applyNumberFormat="1" applyFont="1" applyFill="1" applyBorder="1" applyAlignment="1">
      <alignment horizontal="left"/>
    </xf>
    <xf numFmtId="0" fontId="0" fillId="0" borderId="0" xfId="2" applyNumberFormat="1" applyFont="1" applyFill="1" applyBorder="1" applyAlignment="1">
      <alignment horizontal="left"/>
    </xf>
    <xf numFmtId="0" fontId="0" fillId="0" borderId="0" xfId="2" quotePrefix="1" applyNumberFormat="1" applyFont="1" applyFill="1" applyBorder="1" applyAlignment="1">
      <alignment horizontal="left"/>
    </xf>
    <xf numFmtId="3" fontId="0" fillId="0" borderId="6" xfId="0" applyNumberFormat="1" applyFont="1" applyFill="1" applyBorder="1" applyAlignment="1">
      <alignment horizontal="left"/>
    </xf>
    <xf numFmtId="164" fontId="0" fillId="0" borderId="0" xfId="0" quotePrefix="1" applyNumberFormat="1" applyFont="1" applyFill="1" applyBorder="1" applyAlignment="1">
      <alignment horizontal="left"/>
    </xf>
    <xf numFmtId="1" fontId="0" fillId="0" borderId="0" xfId="2" applyNumberFormat="1" applyFont="1" applyFill="1" applyBorder="1" applyAlignment="1">
      <alignment horizontal="left"/>
    </xf>
    <xf numFmtId="1" fontId="0" fillId="0" borderId="0" xfId="2" applyNumberFormat="1" applyFont="1" applyFill="1" applyBorder="1"/>
    <xf numFmtId="0" fontId="0" fillId="0" borderId="0" xfId="0" applyFont="1" applyAlignment="1">
      <alignment horizontal="left"/>
    </xf>
    <xf numFmtId="0" fontId="0" fillId="0" borderId="0" xfId="0" applyFont="1" applyAlignment="1">
      <alignment horizontal="left" wrapText="1"/>
    </xf>
    <xf numFmtId="0" fontId="0" fillId="0" borderId="0" xfId="0" applyFont="1" applyBorder="1"/>
    <xf numFmtId="0" fontId="21" fillId="3" borderId="2" xfId="0" applyFont="1" applyFill="1" applyBorder="1" applyAlignment="1">
      <alignment wrapText="1"/>
    </xf>
    <xf numFmtId="44" fontId="0" fillId="0" borderId="0" xfId="1" applyFont="1" applyFill="1" applyBorder="1" applyAlignment="1">
      <alignment horizontal="left"/>
    </xf>
    <xf numFmtId="0" fontId="0" fillId="3" borderId="0" xfId="0" applyFont="1" applyFill="1" applyBorder="1" applyAlignment="1">
      <alignment horizontal="left"/>
    </xf>
    <xf numFmtId="0" fontId="0" fillId="3" borderId="0" xfId="0" applyFont="1" applyFill="1" applyBorder="1" applyAlignment="1">
      <alignment horizontal="left" wrapText="1"/>
    </xf>
    <xf numFmtId="0" fontId="21" fillId="3" borderId="2" xfId="0" applyFont="1" applyFill="1" applyBorder="1" applyAlignment="1">
      <alignment horizontal="left" wrapText="1"/>
    </xf>
    <xf numFmtId="0" fontId="19" fillId="0" borderId="0" xfId="0" applyFont="1" applyBorder="1"/>
    <xf numFmtId="0" fontId="19" fillId="2" borderId="0" xfId="0" applyFont="1" applyFill="1" applyBorder="1"/>
    <xf numFmtId="0" fontId="0" fillId="0" borderId="0" xfId="0" applyFont="1" applyAlignment="1">
      <alignment horizontal="left" vertical="center" indent="2"/>
    </xf>
    <xf numFmtId="0" fontId="22" fillId="0" borderId="0" xfId="0" applyFont="1" applyAlignment="1">
      <alignment horizontal="left" vertical="center" wrapText="1" indent="2"/>
    </xf>
    <xf numFmtId="0" fontId="0" fillId="0" borderId="0" xfId="0" applyFont="1" applyAlignment="1">
      <alignment horizontal="left" vertical="center" wrapText="1" indent="2"/>
    </xf>
    <xf numFmtId="0" fontId="0" fillId="0" borderId="0" xfId="0" applyFont="1" applyAlignment="1">
      <alignment horizontal="left" vertical="top" wrapText="1"/>
    </xf>
    <xf numFmtId="0" fontId="22" fillId="0" borderId="0" xfId="3" applyFont="1" applyAlignment="1">
      <alignment horizontal="left" vertical="center" wrapText="1" indent="2"/>
    </xf>
    <xf numFmtId="0" fontId="0" fillId="0" borderId="0" xfId="0" applyFont="1" applyBorder="1" applyAlignment="1"/>
    <xf numFmtId="0" fontId="0" fillId="3" borderId="2" xfId="0" applyFont="1" applyFill="1" applyBorder="1" applyAlignment="1">
      <alignment wrapText="1"/>
    </xf>
    <xf numFmtId="0" fontId="23" fillId="3" borderId="2" xfId="0" applyFont="1" applyFill="1" applyBorder="1" applyAlignment="1">
      <alignment horizontal="left" wrapText="1"/>
    </xf>
    <xf numFmtId="0" fontId="0" fillId="3" borderId="2" xfId="0" applyFont="1" applyFill="1" applyBorder="1"/>
    <xf numFmtId="0" fontId="17" fillId="3" borderId="0" xfId="0" applyFont="1" applyFill="1" applyBorder="1" applyAlignment="1">
      <alignment horizontal="left" wrapText="1"/>
    </xf>
    <xf numFmtId="0" fontId="18" fillId="3" borderId="0" xfId="0" applyFont="1" applyFill="1" applyBorder="1" applyAlignment="1">
      <alignment horizontal="left" wrapText="1"/>
    </xf>
    <xf numFmtId="0" fontId="21" fillId="0" borderId="0" xfId="0" applyFont="1" applyAlignment="1"/>
    <xf numFmtId="0" fontId="0" fillId="0" borderId="0" xfId="0" applyFont="1" applyAlignment="1"/>
    <xf numFmtId="0" fontId="21" fillId="0" borderId="0" xfId="0" applyFont="1" applyAlignment="1">
      <alignment vertical="center"/>
    </xf>
    <xf numFmtId="0" fontId="21" fillId="0" borderId="0" xfId="0" applyFont="1" applyAlignment="1">
      <alignment horizontal="left"/>
    </xf>
    <xf numFmtId="0" fontId="21" fillId="0" borderId="0" xfId="0" applyFont="1" applyAlignment="1">
      <alignment horizontal="left" vertical="center"/>
    </xf>
    <xf numFmtId="0" fontId="22" fillId="0" borderId="0" xfId="0" applyFont="1" applyAlignment="1">
      <alignment horizontal="left"/>
    </xf>
    <xf numFmtId="0" fontId="17" fillId="3" borderId="1" xfId="0" applyFont="1" applyFill="1" applyBorder="1"/>
    <xf numFmtId="0" fontId="24" fillId="3" borderId="0" xfId="0" applyFont="1" applyFill="1" applyAlignment="1">
      <alignment vertical="top" wrapText="1"/>
    </xf>
    <xf numFmtId="0" fontId="4" fillId="3" borderId="0" xfId="0" applyFont="1" applyFill="1"/>
    <xf numFmtId="0" fontId="27" fillId="3" borderId="0" xfId="3" applyFont="1" applyFill="1" applyBorder="1"/>
    <xf numFmtId="0" fontId="0" fillId="3" borderId="0" xfId="0" applyFont="1" applyFill="1" applyBorder="1" applyAlignment="1">
      <alignment horizontal="left" vertical="center" wrapText="1"/>
    </xf>
    <xf numFmtId="0" fontId="0" fillId="3" borderId="0" xfId="0" applyFont="1" applyFill="1" applyBorder="1" applyAlignment="1">
      <alignment horizontal="left" vertical="center"/>
    </xf>
    <xf numFmtId="9" fontId="0" fillId="0" borderId="0" xfId="2" applyNumberFormat="1" applyFont="1" applyFill="1" applyAlignment="1">
      <alignment horizontal="center" vertical="center"/>
    </xf>
    <xf numFmtId="2" fontId="0" fillId="0" borderId="7" xfId="0" applyNumberFormat="1" applyFont="1" applyFill="1" applyBorder="1" applyAlignment="1">
      <alignment horizontal="left"/>
    </xf>
    <xf numFmtId="164" fontId="0" fillId="0" borderId="0" xfId="0" applyNumberFormat="1" applyFont="1" applyAlignment="1">
      <alignment horizontal="left"/>
    </xf>
    <xf numFmtId="165" fontId="0" fillId="0" borderId="0" xfId="0" applyNumberFormat="1" applyFont="1" applyAlignment="1">
      <alignment horizontal="left"/>
    </xf>
    <xf numFmtId="0" fontId="21" fillId="0" borderId="0" xfId="0" applyFont="1"/>
    <xf numFmtId="0" fontId="0" fillId="0" borderId="0" xfId="0" applyFont="1" applyBorder="1" applyAlignment="1">
      <alignment vertical="top"/>
    </xf>
    <xf numFmtId="0" fontId="0" fillId="0" borderId="0" xfId="0" applyFont="1" applyBorder="1" applyAlignment="1">
      <alignment horizontal="right"/>
    </xf>
    <xf numFmtId="0" fontId="0" fillId="0" borderId="0" xfId="0" quotePrefix="1" applyFont="1" applyBorder="1" applyAlignment="1"/>
    <xf numFmtId="0" fontId="0" fillId="0" borderId="0" xfId="0" applyFont="1" applyFill="1" applyBorder="1" applyAlignment="1"/>
    <xf numFmtId="0" fontId="0" fillId="0" borderId="6" xfId="0" applyFont="1" applyFill="1" applyBorder="1" applyAlignment="1">
      <alignment horizontal="left"/>
    </xf>
    <xf numFmtId="0" fontId="0" fillId="0" borderId="6" xfId="0" applyFont="1" applyFill="1" applyBorder="1" applyAlignment="1"/>
    <xf numFmtId="0" fontId="17" fillId="0" borderId="6" xfId="0" applyFont="1" applyBorder="1" applyAlignment="1">
      <alignment vertical="top"/>
    </xf>
    <xf numFmtId="0" fontId="17" fillId="0" borderId="0" xfId="0" applyFont="1" applyBorder="1" applyAlignment="1">
      <alignment horizontal="left" vertical="top"/>
    </xf>
    <xf numFmtId="0" fontId="17" fillId="0" borderId="0" xfId="0" applyNumberFormat="1" applyFont="1" applyBorder="1" applyAlignment="1">
      <alignment horizontal="left" vertical="center"/>
    </xf>
    <xf numFmtId="165" fontId="17" fillId="0" borderId="7" xfId="0" applyNumberFormat="1" applyFont="1" applyFill="1" applyBorder="1" applyAlignment="1">
      <alignment horizontal="left"/>
    </xf>
    <xf numFmtId="2" fontId="0" fillId="0" borderId="7" xfId="0" quotePrefix="1" applyNumberFormat="1" applyFont="1" applyFill="1" applyBorder="1" applyAlignment="1">
      <alignment horizontal="left"/>
    </xf>
    <xf numFmtId="0" fontId="0" fillId="0" borderId="7" xfId="0" quotePrefix="1" applyFont="1" applyFill="1" applyBorder="1" applyAlignment="1">
      <alignment horizontal="left"/>
    </xf>
    <xf numFmtId="3" fontId="0" fillId="3" borderId="0" xfId="0" applyNumberFormat="1" applyFont="1" applyFill="1" applyBorder="1" applyAlignment="1">
      <alignment horizontal="left"/>
    </xf>
    <xf numFmtId="3" fontId="17" fillId="3" borderId="6" xfId="0" applyNumberFormat="1" applyFont="1" applyFill="1" applyBorder="1" applyAlignment="1">
      <alignment horizontal="left"/>
    </xf>
    <xf numFmtId="3" fontId="17" fillId="3" borderId="0" xfId="0" applyNumberFormat="1" applyFont="1" applyFill="1" applyBorder="1" applyAlignment="1">
      <alignment horizontal="left"/>
    </xf>
    <xf numFmtId="3" fontId="0" fillId="3" borderId="6" xfId="0" applyNumberFormat="1" applyFont="1" applyFill="1" applyBorder="1" applyAlignment="1">
      <alignment horizontal="left"/>
    </xf>
    <xf numFmtId="3" fontId="0" fillId="3" borderId="0" xfId="0" applyNumberFormat="1" applyFont="1" applyFill="1" applyBorder="1" applyAlignment="1">
      <alignment horizontal="left" wrapText="1"/>
    </xf>
    <xf numFmtId="3" fontId="0" fillId="3" borderId="6" xfId="0" applyNumberFormat="1" applyFont="1" applyFill="1" applyBorder="1" applyAlignment="1">
      <alignment horizontal="left" wrapText="1"/>
    </xf>
    <xf numFmtId="3" fontId="17" fillId="3" borderId="2" xfId="0" applyNumberFormat="1" applyFont="1" applyFill="1" applyBorder="1" applyAlignment="1">
      <alignment horizontal="left"/>
    </xf>
    <xf numFmtId="3" fontId="21" fillId="3" borderId="2" xfId="0" applyNumberFormat="1" applyFont="1" applyFill="1" applyBorder="1" applyAlignment="1">
      <alignment horizontal="left"/>
    </xf>
    <xf numFmtId="3" fontId="21" fillId="3" borderId="8" xfId="0" applyNumberFormat="1" applyFont="1" applyFill="1" applyBorder="1" applyAlignment="1">
      <alignment horizontal="left"/>
    </xf>
    <xf numFmtId="3" fontId="21" fillId="3" borderId="8" xfId="0" applyNumberFormat="1" applyFont="1" applyFill="1" applyBorder="1" applyAlignment="1">
      <alignment horizontal="left" wrapText="1"/>
    </xf>
    <xf numFmtId="3" fontId="21" fillId="3" borderId="2" xfId="0" applyNumberFormat="1" applyFont="1" applyFill="1" applyBorder="1" applyAlignment="1">
      <alignment horizontal="left" wrapText="1"/>
    </xf>
    <xf numFmtId="3" fontId="17" fillId="0" borderId="0" xfId="0" applyNumberFormat="1" applyFont="1" applyFill="1" applyBorder="1" applyAlignment="1">
      <alignment horizontal="left"/>
    </xf>
    <xf numFmtId="3" fontId="17" fillId="0" borderId="6" xfId="0" applyNumberFormat="1" applyFont="1" applyFill="1" applyBorder="1" applyAlignment="1">
      <alignment horizontal="left"/>
    </xf>
    <xf numFmtId="3" fontId="17" fillId="0" borderId="6" xfId="1" applyNumberFormat="1" applyFont="1" applyFill="1" applyBorder="1" applyAlignment="1">
      <alignment horizontal="right" vertical="center"/>
    </xf>
    <xf numFmtId="3" fontId="17" fillId="0" borderId="0" xfId="1" applyNumberFormat="1" applyFont="1" applyFill="1" applyAlignment="1">
      <alignment horizontal="right" vertical="center"/>
    </xf>
    <xf numFmtId="3" fontId="17" fillId="0" borderId="6" xfId="1" applyNumberFormat="1" applyFont="1" applyFill="1" applyBorder="1" applyAlignment="1">
      <alignment horizontal="right"/>
    </xf>
    <xf numFmtId="3" fontId="1" fillId="0" borderId="0" xfId="1" applyNumberFormat="1" applyFont="1" applyFill="1" applyBorder="1">
      <alignment horizontal="left"/>
    </xf>
    <xf numFmtId="3" fontId="17" fillId="0" borderId="0" xfId="1" applyNumberFormat="1" applyFont="1" applyFill="1" applyBorder="1" applyAlignment="1">
      <alignment horizontal="right" vertical="center"/>
    </xf>
    <xf numFmtId="3" fontId="0" fillId="0" borderId="6" xfId="0"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6" xfId="1" applyNumberFormat="1" applyFont="1" applyFill="1" applyBorder="1" applyAlignment="1">
      <alignment horizontal="right"/>
    </xf>
    <xf numFmtId="3" fontId="0" fillId="0" borderId="6" xfId="1" applyNumberFormat="1" applyFont="1" applyFill="1" applyBorder="1">
      <alignment horizontal="left"/>
    </xf>
    <xf numFmtId="3" fontId="0" fillId="0" borderId="0" xfId="1" applyNumberFormat="1" applyFont="1" applyFill="1" applyBorder="1" applyAlignment="1">
      <alignment horizontal="right"/>
    </xf>
    <xf numFmtId="3" fontId="0" fillId="0" borderId="6" xfId="1" applyNumberFormat="1" applyFont="1" applyFill="1" applyBorder="1" applyAlignment="1"/>
    <xf numFmtId="3" fontId="0" fillId="0" borderId="0" xfId="0" applyNumberFormat="1" applyFont="1" applyFill="1" applyBorder="1" applyAlignment="1">
      <alignment horizontal="left"/>
    </xf>
    <xf numFmtId="0" fontId="0" fillId="0" borderId="0" xfId="0" applyFont="1" applyAlignment="1">
      <alignment horizontal="left" vertical="center"/>
    </xf>
    <xf numFmtId="0" fontId="0" fillId="0" borderId="0" xfId="0" applyFont="1" applyBorder="1" applyAlignment="1">
      <alignment horizontal="left" vertical="center"/>
    </xf>
    <xf numFmtId="1" fontId="0" fillId="0" borderId="0" xfId="0" applyNumberFormat="1"/>
    <xf numFmtId="1" fontId="0" fillId="0" borderId="0" xfId="0" applyNumberFormat="1" applyFont="1" applyAlignment="1"/>
    <xf numFmtId="0" fontId="17" fillId="0" borderId="0" xfId="0" applyFont="1" applyBorder="1" applyAlignment="1">
      <alignment vertical="top"/>
    </xf>
    <xf numFmtId="0" fontId="17" fillId="0" borderId="0" xfId="0" applyFont="1" applyBorder="1" applyAlignment="1"/>
    <xf numFmtId="0" fontId="17" fillId="0" borderId="0" xfId="0" applyFont="1" applyBorder="1" applyAlignment="1">
      <alignment horizontal="right"/>
    </xf>
    <xf numFmtId="0" fontId="17" fillId="0" borderId="0" xfId="0" applyFont="1" applyFill="1" applyBorder="1" applyAlignment="1">
      <alignment horizontal="right"/>
    </xf>
    <xf numFmtId="0" fontId="18" fillId="0" borderId="0" xfId="0" applyFont="1" applyBorder="1" applyAlignment="1">
      <alignment horizontal="right"/>
    </xf>
    <xf numFmtId="0" fontId="24" fillId="3" borderId="0" xfId="0" applyFont="1" applyFill="1" applyAlignment="1">
      <alignment horizontal="left" vertical="center" wrapText="1"/>
    </xf>
    <xf numFmtId="0" fontId="20" fillId="3" borderId="2" xfId="0" applyFont="1" applyFill="1" applyBorder="1" applyAlignment="1">
      <alignment horizontal="left" vertical="center"/>
    </xf>
    <xf numFmtId="3" fontId="0" fillId="0" borderId="6" xfId="0" applyNumberFormat="1" applyFont="1" applyFill="1" applyBorder="1" applyAlignment="1">
      <alignment horizontal="left"/>
    </xf>
    <xf numFmtId="3" fontId="0" fillId="0" borderId="0" xfId="0" applyNumberFormat="1" applyFont="1" applyFill="1" applyBorder="1" applyAlignment="1">
      <alignment horizontal="left"/>
    </xf>
    <xf numFmtId="3" fontId="0" fillId="0" borderId="7" xfId="0" applyNumberFormat="1" applyFont="1" applyFill="1" applyBorder="1" applyAlignment="1">
      <alignment horizontal="left"/>
    </xf>
    <xf numFmtId="0" fontId="0" fillId="0" borderId="0" xfId="1" applyNumberFormat="1" applyFont="1" applyFill="1" applyAlignment="1">
      <alignment horizontal="center" vertical="center"/>
    </xf>
  </cellXfs>
  <cellStyles count="4">
    <cellStyle name="Link" xfId="3" builtinId="8"/>
    <cellStyle name="Prozent" xfId="2" builtinId="5"/>
    <cellStyle name="Standard" xfId="0" builtinId="0"/>
    <cellStyle name="Währung" xfId="1" builtinId="4" customBuiltin="1"/>
  </cellStyles>
  <dxfs count="0"/>
  <tableStyles count="0" defaultTableStyle="TableStyleMedium2" defaultPivotStyle="PivotStyleLight16"/>
  <colors>
    <mruColors>
      <color rgb="FFDAE580"/>
      <color rgb="FFE3ECA2"/>
      <color rgb="FFB4CB01"/>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25213</xdr:colOff>
      <xdr:row>2</xdr:row>
      <xdr:rowOff>133350</xdr:rowOff>
    </xdr:from>
    <xdr:to>
      <xdr:col>10</xdr:col>
      <xdr:colOff>163569</xdr:colOff>
      <xdr:row>9</xdr:row>
      <xdr:rowOff>259080</xdr:rowOff>
    </xdr:to>
    <xdr:pic>
      <xdr:nvPicPr>
        <xdr:cNvPr id="6" name="Grafik 5" descr="Ein Bild, das Schwarz, Dunkelheit enthält.&#10;&#10;Automatisch generierte Beschreibung">
          <a:extLst>
            <a:ext uri="{FF2B5EF4-FFF2-40B4-BE49-F238E27FC236}">
              <a16:creationId xmlns:a16="http://schemas.microsoft.com/office/drawing/2014/main" id="{53816CC7-855A-4D5B-AF83-60D9FB9E35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978" y="514350"/>
          <a:ext cx="2387563" cy="1462405"/>
        </a:xfrm>
        <a:prstGeom prst="rect">
          <a:avLst/>
        </a:prstGeom>
      </xdr:spPr>
    </xdr:pic>
    <xdr:clientData/>
  </xdr:twoCellAnchor>
  <xdr:twoCellAnchor editAs="oneCell">
    <xdr:from>
      <xdr:col>7</xdr:col>
      <xdr:colOff>28575</xdr:colOff>
      <xdr:row>12</xdr:row>
      <xdr:rowOff>2802</xdr:rowOff>
    </xdr:from>
    <xdr:to>
      <xdr:col>10</xdr:col>
      <xdr:colOff>448915</xdr:colOff>
      <xdr:row>13</xdr:row>
      <xdr:rowOff>160699</xdr:rowOff>
    </xdr:to>
    <xdr:pic>
      <xdr:nvPicPr>
        <xdr:cNvPr id="11" name="Grafik 10" descr="Ein Bild, das Text enthält.&#10;&#10;Automatisch generierte Beschreibung">
          <a:extLst>
            <a:ext uri="{FF2B5EF4-FFF2-40B4-BE49-F238E27FC236}">
              <a16:creationId xmlns:a16="http://schemas.microsoft.com/office/drawing/2014/main" id="{BABA21AA-7B13-FAEC-40C2-134431019D9A}"/>
            </a:ext>
          </a:extLst>
        </xdr:cNvPr>
        <xdr:cNvPicPr>
          <a:picLocks noChangeAspect="1"/>
        </xdr:cNvPicPr>
      </xdr:nvPicPr>
      <xdr:blipFill>
        <a:blip xmlns:r="http://schemas.openxmlformats.org/officeDocument/2006/relationships" r:embed="rId2">
          <a:biLevel thresh="75000"/>
        </a:blip>
        <a:stretch>
          <a:fillRect/>
        </a:stretch>
      </xdr:blipFill>
      <xdr:spPr>
        <a:xfrm>
          <a:off x="11010340" y="2927537"/>
          <a:ext cx="2675897" cy="637322"/>
        </a:xfrm>
        <a:prstGeom prst="rect">
          <a:avLst/>
        </a:prstGeom>
      </xdr:spPr>
    </xdr:pic>
    <xdr:clientData/>
  </xdr:twoCellAnchor>
  <xdr:twoCellAnchor editAs="oneCell">
    <xdr:from>
      <xdr:col>8</xdr:col>
      <xdr:colOff>211453</xdr:colOff>
      <xdr:row>17</xdr:row>
      <xdr:rowOff>190499</xdr:rowOff>
    </xdr:from>
    <xdr:to>
      <xdr:col>10</xdr:col>
      <xdr:colOff>347149</xdr:colOff>
      <xdr:row>27</xdr:row>
      <xdr:rowOff>21182</xdr:rowOff>
    </xdr:to>
    <xdr:pic>
      <xdr:nvPicPr>
        <xdr:cNvPr id="3" name="Grafik 2">
          <a:extLst>
            <a:ext uri="{FF2B5EF4-FFF2-40B4-BE49-F238E27FC236}">
              <a16:creationId xmlns:a16="http://schemas.microsoft.com/office/drawing/2014/main" id="{C830ECD1-A09C-4DA0-B4AE-1C3B102D859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84870" y="4360332"/>
          <a:ext cx="1649112" cy="16827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oew.de/" TargetMode="External"/><Relationship Id="rId2" Type="http://schemas.openxmlformats.org/officeDocument/2006/relationships/hyperlink" Target="mailto:elmar.zozmann@ioew.de" TargetMode="External"/><Relationship Id="rId1" Type="http://schemas.openxmlformats.org/officeDocument/2006/relationships/hyperlink" Target="mailto:clara.lenk@ioew.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asmedigitalcollection.asme.org/IDETC-CIE/proceedings/IDETC-CIE2019/59223/Anaheim,%20California,%20USA/10698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80AC-E901-4F83-A23B-EEBF11173C63}">
  <sheetPr codeName="Tabelle1"/>
  <dimension ref="A1:XFC41"/>
  <sheetViews>
    <sheetView tabSelected="1" zoomScale="85" zoomScaleNormal="85" workbookViewId="0">
      <selection activeCell="C16" sqref="C16"/>
    </sheetView>
  </sheetViews>
  <sheetFormatPr baseColWidth="10" defaultColWidth="10.85546875" defaultRowHeight="15" zeroHeight="1" x14ac:dyDescent="0.25"/>
  <cols>
    <col min="1" max="1" width="10.85546875" style="1" customWidth="1"/>
    <col min="2" max="2" width="3.5703125" style="1" customWidth="1"/>
    <col min="3" max="3" width="105" style="1" customWidth="1"/>
    <col min="4" max="6" width="10.85546875" style="1" customWidth="1"/>
    <col min="7" max="7" width="12.42578125" style="1" customWidth="1"/>
    <col min="8" max="8" width="10.85546875" style="1" customWidth="1"/>
    <col min="9" max="9" width="11.85546875" style="1" customWidth="1"/>
    <col min="10" max="11" width="10.85546875" style="1" customWidth="1"/>
    <col min="12" max="16383" width="0" hidden="1" customWidth="1"/>
    <col min="16384" max="16384" width="105.7109375" hidden="1" customWidth="1"/>
  </cols>
  <sheetData>
    <row r="1" spans="2:11" x14ac:dyDescent="0.25"/>
    <row r="2" spans="2:11" x14ac:dyDescent="0.25">
      <c r="B2" s="2"/>
      <c r="C2" s="3" t="s">
        <v>229</v>
      </c>
      <c r="D2" s="4"/>
      <c r="E2" s="4"/>
      <c r="F2" s="4"/>
      <c r="G2" s="4"/>
      <c r="H2" s="4"/>
      <c r="I2" s="4"/>
      <c r="J2" s="4"/>
      <c r="K2" s="5"/>
    </row>
    <row r="3" spans="2:11" x14ac:dyDescent="0.25">
      <c r="B3" s="6"/>
      <c r="K3" s="7"/>
    </row>
    <row r="4" spans="2:11" x14ac:dyDescent="0.25">
      <c r="B4" s="6"/>
      <c r="K4" s="7"/>
    </row>
    <row r="5" spans="2:11" x14ac:dyDescent="0.25">
      <c r="B5" s="6"/>
      <c r="K5" s="7"/>
    </row>
    <row r="6" spans="2:11" x14ac:dyDescent="0.25">
      <c r="B6" s="6"/>
      <c r="K6" s="7"/>
    </row>
    <row r="7" spans="2:11" x14ac:dyDescent="0.25">
      <c r="B7" s="6"/>
      <c r="K7" s="7"/>
    </row>
    <row r="8" spans="2:11" x14ac:dyDescent="0.25">
      <c r="B8" s="6"/>
      <c r="K8" s="7"/>
    </row>
    <row r="9" spans="2:11" x14ac:dyDescent="0.25">
      <c r="B9" s="6"/>
      <c r="K9" s="7"/>
    </row>
    <row r="10" spans="2:11" ht="31.5" x14ac:dyDescent="0.5">
      <c r="B10" s="6"/>
      <c r="C10" s="8" t="s">
        <v>230</v>
      </c>
      <c r="K10" s="7"/>
    </row>
    <row r="11" spans="2:11" ht="31.5" x14ac:dyDescent="0.5">
      <c r="B11" s="6"/>
      <c r="C11" s="8" t="s">
        <v>367</v>
      </c>
      <c r="H11" s="9" t="s">
        <v>227</v>
      </c>
      <c r="K11" s="7"/>
    </row>
    <row r="12" spans="2:11" ht="31.5" x14ac:dyDescent="0.5">
      <c r="B12" s="6"/>
      <c r="C12" s="8" t="s">
        <v>368</v>
      </c>
      <c r="K12" s="7"/>
    </row>
    <row r="13" spans="2:11" ht="37.5" x14ac:dyDescent="0.3">
      <c r="B13" s="6"/>
      <c r="C13" s="21" t="s">
        <v>369</v>
      </c>
      <c r="H13" s="10"/>
      <c r="I13" s="11"/>
      <c r="K13" s="7"/>
    </row>
    <row r="14" spans="2:11" x14ac:dyDescent="0.25">
      <c r="B14" s="6"/>
      <c r="H14" s="10"/>
      <c r="I14" s="11"/>
      <c r="K14" s="7"/>
    </row>
    <row r="15" spans="2:11" x14ac:dyDescent="0.25">
      <c r="B15" s="6"/>
      <c r="H15" s="11"/>
      <c r="I15" s="11"/>
      <c r="K15" s="7"/>
    </row>
    <row r="16" spans="2:11" x14ac:dyDescent="0.25">
      <c r="B16" s="6"/>
      <c r="C16" s="22" t="s">
        <v>515</v>
      </c>
      <c r="H16" s="11"/>
      <c r="I16" s="11"/>
      <c r="K16" s="7"/>
    </row>
    <row r="17" spans="2:11" ht="15.75" x14ac:dyDescent="0.25">
      <c r="B17" s="6"/>
      <c r="C17" s="23" t="s">
        <v>505</v>
      </c>
      <c r="H17" s="9" t="s">
        <v>235</v>
      </c>
      <c r="I17" s="11"/>
      <c r="K17" s="7"/>
    </row>
    <row r="18" spans="2:11" ht="15" customHeight="1" x14ac:dyDescent="0.25">
      <c r="B18" s="6"/>
      <c r="H18" s="12"/>
      <c r="I18" s="12"/>
      <c r="K18" s="7"/>
    </row>
    <row r="19" spans="2:11" x14ac:dyDescent="0.25">
      <c r="B19" s="6"/>
      <c r="C19" s="13" t="s">
        <v>240</v>
      </c>
      <c r="H19" s="11"/>
      <c r="I19" s="11"/>
      <c r="K19" s="7"/>
    </row>
    <row r="20" spans="2:11" x14ac:dyDescent="0.25">
      <c r="B20" s="6"/>
      <c r="C20" s="12" t="s">
        <v>231</v>
      </c>
      <c r="H20" s="11"/>
      <c r="I20" s="11"/>
      <c r="K20" s="7"/>
    </row>
    <row r="21" spans="2:11" x14ac:dyDescent="0.25">
      <c r="B21" s="6"/>
      <c r="C21" s="14" t="s">
        <v>232</v>
      </c>
      <c r="H21" s="11"/>
      <c r="I21" s="11"/>
      <c r="K21" s="7"/>
    </row>
    <row r="22" spans="2:11" ht="10.5" customHeight="1" x14ac:dyDescent="0.25">
      <c r="B22" s="6"/>
      <c r="C22" s="12"/>
      <c r="H22" s="11"/>
      <c r="I22" s="11"/>
      <c r="K22" s="7"/>
    </row>
    <row r="23" spans="2:11" ht="15" customHeight="1" x14ac:dyDescent="0.25">
      <c r="B23" s="6"/>
      <c r="C23" s="13" t="s">
        <v>241</v>
      </c>
      <c r="H23" s="11"/>
      <c r="I23" s="11"/>
      <c r="K23" s="7"/>
    </row>
    <row r="24" spans="2:11" ht="15" customHeight="1" x14ac:dyDescent="0.25">
      <c r="B24" s="6"/>
      <c r="C24" s="12" t="s">
        <v>233</v>
      </c>
      <c r="H24" s="11"/>
      <c r="I24" s="11"/>
      <c r="K24" s="7"/>
    </row>
    <row r="25" spans="2:11" ht="15" customHeight="1" x14ac:dyDescent="0.25">
      <c r="B25" s="6"/>
      <c r="C25" s="14" t="s">
        <v>234</v>
      </c>
      <c r="H25" s="11"/>
      <c r="I25" s="11"/>
      <c r="K25" s="7"/>
    </row>
    <row r="26" spans="2:11" ht="15" customHeight="1" x14ac:dyDescent="0.25">
      <c r="B26" s="6"/>
      <c r="C26" s="14"/>
      <c r="H26" s="11"/>
      <c r="I26" s="11"/>
      <c r="K26" s="7"/>
    </row>
    <row r="27" spans="2:11" ht="15" customHeight="1" x14ac:dyDescent="0.25">
      <c r="B27" s="6"/>
      <c r="C27" s="124" t="s">
        <v>443</v>
      </c>
      <c r="H27" s="11"/>
      <c r="I27" s="11"/>
      <c r="K27" s="7"/>
    </row>
    <row r="28" spans="2:11" ht="15" customHeight="1" x14ac:dyDescent="0.25">
      <c r="B28" s="15"/>
      <c r="C28" s="16"/>
      <c r="D28" s="16"/>
      <c r="E28" s="16"/>
      <c r="F28" s="16"/>
      <c r="G28" s="16"/>
      <c r="H28" s="16"/>
      <c r="I28" s="16"/>
      <c r="J28" s="16"/>
      <c r="K28" s="17"/>
    </row>
    <row r="29" spans="2:11" ht="20.100000000000001" customHeight="1" x14ac:dyDescent="0.25"/>
    <row r="30" spans="2:11" ht="75.75" customHeight="1" x14ac:dyDescent="0.25">
      <c r="C30" s="178" t="s">
        <v>461</v>
      </c>
      <c r="D30" s="178"/>
      <c r="E30" s="178"/>
      <c r="F30" s="178"/>
      <c r="G30" s="178"/>
      <c r="H30" s="178"/>
      <c r="I30" s="178"/>
      <c r="J30" s="178"/>
      <c r="K30" s="122"/>
    </row>
    <row r="31" spans="2:11" ht="90.75" customHeight="1" x14ac:dyDescent="0.25">
      <c r="C31" s="178" t="s">
        <v>460</v>
      </c>
      <c r="D31" s="178"/>
      <c r="E31" s="178"/>
      <c r="F31" s="178"/>
      <c r="G31" s="178"/>
      <c r="H31" s="178"/>
      <c r="I31" s="178"/>
      <c r="J31" s="178"/>
      <c r="K31" s="122"/>
    </row>
    <row r="32" spans="2:11" ht="13.5" customHeight="1" x14ac:dyDescent="0.25">
      <c r="I32" s="18"/>
    </row>
    <row r="33" spans="3:3" ht="20.100000000000001" customHeight="1" x14ac:dyDescent="0.4">
      <c r="C33" s="123" t="s">
        <v>371</v>
      </c>
    </row>
    <row r="34" spans="3:3" ht="20.100000000000001" customHeight="1" x14ac:dyDescent="0.25"/>
    <row r="35" spans="3:3" ht="20.100000000000001" customHeight="1" x14ac:dyDescent="0.35">
      <c r="C35" s="19" t="s">
        <v>224</v>
      </c>
    </row>
    <row r="36" spans="3:3" ht="20.100000000000001" customHeight="1" x14ac:dyDescent="0.35">
      <c r="C36" s="19" t="s">
        <v>225</v>
      </c>
    </row>
    <row r="37" spans="3:3" ht="20.100000000000001" customHeight="1" x14ac:dyDescent="0.35">
      <c r="C37" s="19" t="s">
        <v>226</v>
      </c>
    </row>
    <row r="38" spans="3:3" ht="20.100000000000001" customHeight="1" x14ac:dyDescent="0.35">
      <c r="C38" s="19" t="s">
        <v>370</v>
      </c>
    </row>
    <row r="39" spans="3:3" ht="21" x14ac:dyDescent="0.35">
      <c r="C39" s="19" t="s">
        <v>228</v>
      </c>
    </row>
    <row r="40" spans="3:3" x14ac:dyDescent="0.25"/>
    <row r="41" spans="3:3" x14ac:dyDescent="0.25"/>
  </sheetData>
  <mergeCells count="2">
    <mergeCell ref="C30:J30"/>
    <mergeCell ref="C31:J31"/>
  </mergeCells>
  <hyperlinks>
    <hyperlink ref="C35" location="Technisch!A1" display="Technische Aspekte von Pflanzenkohle" xr:uid="{140969A0-BA31-884D-940A-5BB6F33AD57D}"/>
    <hyperlink ref="C36" location="Ökonomisch!A1" display="Ökonomische Aspekte von Pflanzenkohle" xr:uid="{7AA99402-E665-D44D-BA4D-F3E5087436CE}"/>
    <hyperlink ref="C37" location="Ökologisch!A1" display="Ökologische Aspekte von Pflanzenkohle" xr:uid="{5C45C2D5-694D-2649-B391-6B260E56FDC8}"/>
    <hyperlink ref="C38" location="Prozesskonfigurationen!A1" display="Prozesskonfigurationen" xr:uid="{8EEA06DC-F1CA-0E4A-BD6E-15F167928476}"/>
    <hyperlink ref="C21" r:id="rId1" xr:uid="{ED88DD1D-1832-4EF3-9CFE-872AAAA7A776}"/>
    <hyperlink ref="C25" r:id="rId2" xr:uid="{F3D4738D-84B1-4F69-B9E0-4918A2147633}"/>
    <hyperlink ref="H17" r:id="rId3" xr:uid="{5B322909-7153-454E-94A8-63571D9180A8}"/>
    <hyperlink ref="C39" location="Quellenverzeichnis!A1" display="Quellen" xr:uid="{C9BBCC23-D039-4946-B142-31A4A910C14E}"/>
  </hyperlinks>
  <pageMargins left="0.7" right="0.7" top="0.78740157499999996" bottom="0.78740157499999996"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098BD-BDEF-4092-B578-8886814F24F4}">
  <sheetPr codeName="Tabelle2"/>
  <dimension ref="A1:D38"/>
  <sheetViews>
    <sheetView zoomScale="85" zoomScaleNormal="85" workbookViewId="0">
      <selection activeCell="C31" sqref="C31"/>
    </sheetView>
  </sheetViews>
  <sheetFormatPr baseColWidth="10" defaultColWidth="0" defaultRowHeight="15" zeroHeight="1" x14ac:dyDescent="0.25"/>
  <cols>
    <col min="1" max="1" width="8.85546875" style="96" customWidth="1"/>
    <col min="2" max="2" width="21" style="96" customWidth="1"/>
    <col min="3" max="3" width="91.140625" style="96" customWidth="1"/>
    <col min="4" max="4" width="10" style="96" customWidth="1"/>
    <col min="5" max="16384" width="11.42578125" style="96" hidden="1"/>
  </cols>
  <sheetData>
    <row r="1" spans="1:4" x14ac:dyDescent="0.25">
      <c r="A1" s="79"/>
      <c r="B1" s="79"/>
      <c r="C1" s="79"/>
      <c r="D1" s="79"/>
    </row>
    <row r="2" spans="1:4" ht="19.5" customHeight="1" x14ac:dyDescent="0.25">
      <c r="A2" s="79"/>
      <c r="B2" s="179" t="s">
        <v>10</v>
      </c>
      <c r="C2" s="179"/>
      <c r="D2" s="79"/>
    </row>
    <row r="3" spans="1:4" x14ac:dyDescent="0.25">
      <c r="A3" s="79"/>
      <c r="B3" s="79" t="s">
        <v>11</v>
      </c>
      <c r="C3" s="79" t="s">
        <v>14</v>
      </c>
      <c r="D3" s="79"/>
    </row>
    <row r="4" spans="1:4" x14ac:dyDescent="0.25">
      <c r="A4" s="79"/>
      <c r="B4" s="79" t="s">
        <v>12</v>
      </c>
      <c r="C4" s="79" t="s">
        <v>15</v>
      </c>
      <c r="D4" s="79"/>
    </row>
    <row r="5" spans="1:4" x14ac:dyDescent="0.25">
      <c r="A5" s="79"/>
      <c r="B5" s="79" t="s">
        <v>13</v>
      </c>
      <c r="C5" s="99">
        <v>0</v>
      </c>
      <c r="D5" s="79"/>
    </row>
    <row r="6" spans="1:4" x14ac:dyDescent="0.25">
      <c r="A6" s="79"/>
      <c r="B6" s="79" t="s">
        <v>171</v>
      </c>
      <c r="C6" s="79" t="s">
        <v>187</v>
      </c>
      <c r="D6" s="79"/>
    </row>
    <row r="7" spans="1:4" x14ac:dyDescent="0.25">
      <c r="A7" s="79"/>
      <c r="B7" s="79"/>
      <c r="C7" s="79"/>
      <c r="D7" s="79"/>
    </row>
    <row r="8" spans="1:4" ht="15.75" x14ac:dyDescent="0.25">
      <c r="A8" s="79"/>
      <c r="B8" s="179" t="s">
        <v>325</v>
      </c>
      <c r="C8" s="179"/>
      <c r="D8" s="79"/>
    </row>
    <row r="9" spans="1:4" x14ac:dyDescent="0.25">
      <c r="A9" s="79"/>
      <c r="B9" s="126" t="s">
        <v>183</v>
      </c>
      <c r="C9" s="126" t="s">
        <v>2</v>
      </c>
      <c r="D9" s="79"/>
    </row>
    <row r="10" spans="1:4" x14ac:dyDescent="0.25">
      <c r="A10" s="79"/>
      <c r="B10" s="79" t="s">
        <v>313</v>
      </c>
      <c r="C10" s="79" t="s">
        <v>203</v>
      </c>
      <c r="D10" s="79"/>
    </row>
    <row r="11" spans="1:4" x14ac:dyDescent="0.25">
      <c r="A11" s="79"/>
      <c r="B11" s="79" t="s">
        <v>446</v>
      </c>
      <c r="C11" s="79" t="s">
        <v>447</v>
      </c>
      <c r="D11" s="79"/>
    </row>
    <row r="12" spans="1:4" x14ac:dyDescent="0.25">
      <c r="A12" s="79"/>
      <c r="B12" s="79" t="s">
        <v>454</v>
      </c>
      <c r="C12" s="79" t="s">
        <v>457</v>
      </c>
      <c r="D12" s="79"/>
    </row>
    <row r="13" spans="1:4" x14ac:dyDescent="0.25">
      <c r="A13" s="79"/>
      <c r="B13" s="79" t="s">
        <v>458</v>
      </c>
      <c r="C13" s="79" t="s">
        <v>459</v>
      </c>
      <c r="D13" s="79"/>
    </row>
    <row r="14" spans="1:4" x14ac:dyDescent="0.25">
      <c r="A14" s="79"/>
      <c r="B14" s="79" t="s">
        <v>450</v>
      </c>
      <c r="C14" s="79" t="s">
        <v>451</v>
      </c>
      <c r="D14" s="79"/>
    </row>
    <row r="15" spans="1:4" x14ac:dyDescent="0.25">
      <c r="A15" s="79"/>
      <c r="B15" s="79" t="s">
        <v>444</v>
      </c>
      <c r="C15" s="79" t="s">
        <v>445</v>
      </c>
      <c r="D15" s="79"/>
    </row>
    <row r="16" spans="1:4" x14ac:dyDescent="0.25">
      <c r="A16" s="79"/>
      <c r="B16" s="79" t="s">
        <v>350</v>
      </c>
      <c r="C16" s="79" t="s">
        <v>351</v>
      </c>
      <c r="D16" s="79"/>
    </row>
    <row r="17" spans="1:4" x14ac:dyDescent="0.25">
      <c r="A17" s="79"/>
      <c r="B17" s="79" t="s">
        <v>310</v>
      </c>
      <c r="C17" s="79" t="s">
        <v>311</v>
      </c>
      <c r="D17" s="79"/>
    </row>
    <row r="18" spans="1:4" x14ac:dyDescent="0.25">
      <c r="A18" s="79"/>
      <c r="B18" s="79" t="s">
        <v>455</v>
      </c>
      <c r="C18" s="79" t="s">
        <v>456</v>
      </c>
      <c r="D18" s="79"/>
    </row>
    <row r="19" spans="1:4" x14ac:dyDescent="0.25">
      <c r="A19" s="79"/>
      <c r="B19" s="79" t="s">
        <v>348</v>
      </c>
      <c r="C19" s="79" t="s">
        <v>349</v>
      </c>
      <c r="D19" s="79"/>
    </row>
    <row r="20" spans="1:4" x14ac:dyDescent="0.25">
      <c r="A20" s="79"/>
      <c r="B20" s="79"/>
      <c r="C20" s="79"/>
      <c r="D20" s="79"/>
    </row>
    <row r="21" spans="1:4" ht="15.75" x14ac:dyDescent="0.25">
      <c r="A21" s="79"/>
      <c r="B21" s="179" t="s">
        <v>352</v>
      </c>
      <c r="C21" s="179"/>
      <c r="D21" s="79"/>
    </row>
    <row r="22" spans="1:4" x14ac:dyDescent="0.25">
      <c r="A22" s="79"/>
      <c r="B22" s="79" t="s">
        <v>138</v>
      </c>
      <c r="C22" s="99" t="s">
        <v>341</v>
      </c>
      <c r="D22" s="79"/>
    </row>
    <row r="23" spans="1:4" x14ac:dyDescent="0.25">
      <c r="A23" s="79"/>
      <c r="B23" s="79" t="s">
        <v>137</v>
      </c>
      <c r="C23" s="79" t="s">
        <v>342</v>
      </c>
      <c r="D23" s="79"/>
    </row>
    <row r="24" spans="1:4" x14ac:dyDescent="0.25">
      <c r="A24" s="79"/>
      <c r="B24" s="79" t="s">
        <v>343</v>
      </c>
      <c r="C24" s="79" t="s">
        <v>344</v>
      </c>
      <c r="D24" s="79"/>
    </row>
    <row r="25" spans="1:4" x14ac:dyDescent="0.25">
      <c r="A25" s="79"/>
      <c r="B25" s="79" t="s">
        <v>221</v>
      </c>
      <c r="C25" s="79" t="s">
        <v>345</v>
      </c>
      <c r="D25" s="79"/>
    </row>
    <row r="26" spans="1:4" x14ac:dyDescent="0.25">
      <c r="A26" s="79"/>
      <c r="B26" s="79" t="s">
        <v>452</v>
      </c>
      <c r="C26" s="79" t="s">
        <v>453</v>
      </c>
      <c r="D26" s="79"/>
    </row>
    <row r="27" spans="1:4" x14ac:dyDescent="0.25">
      <c r="A27" s="79"/>
      <c r="B27" s="79" t="s">
        <v>346</v>
      </c>
      <c r="C27" s="79" t="s">
        <v>347</v>
      </c>
      <c r="D27" s="79"/>
    </row>
    <row r="28" spans="1:4" x14ac:dyDescent="0.25">
      <c r="A28" s="79"/>
      <c r="B28" s="79"/>
      <c r="C28" s="79"/>
      <c r="D28" s="79"/>
    </row>
    <row r="29" spans="1:4" ht="15.75" x14ac:dyDescent="0.25">
      <c r="A29" s="79"/>
      <c r="B29" s="179" t="s">
        <v>376</v>
      </c>
      <c r="C29" s="179"/>
      <c r="D29" s="79"/>
    </row>
    <row r="30" spans="1:4" ht="30" x14ac:dyDescent="0.25">
      <c r="A30" s="79"/>
      <c r="B30" s="125" t="s">
        <v>448</v>
      </c>
      <c r="C30" s="100" t="s">
        <v>377</v>
      </c>
      <c r="D30" s="79"/>
    </row>
    <row r="31" spans="1:4" ht="45" x14ac:dyDescent="0.25">
      <c r="A31" s="79"/>
      <c r="B31" s="125" t="s">
        <v>448</v>
      </c>
      <c r="C31" s="28" t="s">
        <v>449</v>
      </c>
      <c r="D31" s="79"/>
    </row>
    <row r="32" spans="1:4" x14ac:dyDescent="0.25">
      <c r="A32" s="79"/>
      <c r="B32" s="79"/>
      <c r="C32" s="79"/>
      <c r="D32" s="79"/>
    </row>
    <row r="33" s="31" customFormat="1" hidden="1" x14ac:dyDescent="0.25"/>
    <row r="34" s="31" customFormat="1" hidden="1" x14ac:dyDescent="0.25"/>
    <row r="35" s="31" customFormat="1" hidden="1" x14ac:dyDescent="0.25"/>
    <row r="36" s="31" customFormat="1" hidden="1" x14ac:dyDescent="0.25"/>
    <row r="37" s="31" customFormat="1" hidden="1" x14ac:dyDescent="0.25"/>
    <row r="38" s="31" customFormat="1" hidden="1" x14ac:dyDescent="0.25"/>
  </sheetData>
  <mergeCells count="4">
    <mergeCell ref="B2:C2"/>
    <mergeCell ref="B8:C8"/>
    <mergeCell ref="B21:C21"/>
    <mergeCell ref="B29:C29"/>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EBAF-96A9-4A1E-B9F8-25C32D172A65}">
  <sheetPr codeName="Tabelle3"/>
  <dimension ref="A1:XFC51"/>
  <sheetViews>
    <sheetView showGridLines="0" zoomScale="85" zoomScaleNormal="85" workbookViewId="0">
      <pane xSplit="4" ySplit="3" topLeftCell="E4" activePane="bottomRight" state="frozen"/>
      <selection pane="topRight" activeCell="E1" sqref="E1"/>
      <selection pane="bottomLeft" activeCell="A4" sqref="A4"/>
      <selection pane="bottomRight" activeCell="E38" sqref="E38"/>
    </sheetView>
  </sheetViews>
  <sheetFormatPr baseColWidth="10" defaultColWidth="0" defaultRowHeight="15" zeroHeight="1" outlineLevelRow="1" outlineLevelCol="1" x14ac:dyDescent="0.25"/>
  <cols>
    <col min="1" max="1" width="11.42578125" style="31" customWidth="1"/>
    <col min="2" max="2" width="50.85546875" style="31" customWidth="1"/>
    <col min="3" max="3" width="12.140625" style="31" customWidth="1"/>
    <col min="4" max="4" width="13.42578125" style="30" customWidth="1"/>
    <col min="5" max="5" width="16.42578125" style="61" customWidth="1"/>
    <col min="6" max="6" width="13.140625" style="31" hidden="1" customWidth="1" outlineLevel="1"/>
    <col min="7" max="7" width="14.85546875" style="30" hidden="1" customWidth="1" outlineLevel="1"/>
    <col min="8" max="8" width="14.5703125" style="61" customWidth="1" collapsed="1"/>
    <col min="9" max="9" width="12.42578125" style="86" customWidth="1"/>
    <col min="10" max="10" width="10.7109375" style="31" customWidth="1"/>
    <col min="11" max="11" width="11.7109375" style="31" bestFit="1" customWidth="1"/>
    <col min="12" max="12" width="10.42578125" style="31" bestFit="1" customWidth="1"/>
    <col min="13" max="13" width="14.85546875" style="31" customWidth="1"/>
    <col min="14" max="14" width="14.7109375" style="31" hidden="1" customWidth="1" outlineLevel="1"/>
    <col min="15" max="15" width="7.140625" style="31" hidden="1" customWidth="1" outlineLevel="1"/>
    <col min="16" max="16" width="7.28515625" style="30" hidden="1" customWidth="1" outlineLevel="1"/>
    <col min="17" max="17" width="17.42578125" style="61" customWidth="1" collapsed="1"/>
    <col min="18" max="18" width="12.85546875" style="31" customWidth="1"/>
    <col min="19" max="19" width="9.28515625" style="31" hidden="1" customWidth="1" outlineLevel="1"/>
    <col min="20" max="20" width="11.42578125" style="31" hidden="1" customWidth="1" outlineLevel="1"/>
    <col min="21" max="21" width="10" style="31" hidden="1" customWidth="1" outlineLevel="1"/>
    <col min="22" max="22" width="15.140625" style="31" hidden="1" customWidth="1" outlineLevel="1"/>
    <col min="23" max="23" width="8.7109375" style="31" hidden="1" customWidth="1" outlineLevel="1"/>
    <col min="24" max="24" width="9" style="31" hidden="1" customWidth="1" outlineLevel="1"/>
    <col min="25" max="25" width="15.28515625" style="30" hidden="1" customWidth="1" outlineLevel="1"/>
    <col min="26" max="26" width="24.7109375" style="61" customWidth="1" collapsed="1"/>
    <col min="27" max="27" width="13.42578125" style="31" customWidth="1"/>
    <col min="28" max="28" width="16" style="31" hidden="1" customWidth="1" outlineLevel="1"/>
    <col min="29" max="29" width="10.140625" style="31" hidden="1" customWidth="1" outlineLevel="1"/>
    <col min="30" max="30" width="17.140625" style="31" hidden="1" customWidth="1" outlineLevel="1"/>
    <col min="31" max="31" width="17.85546875" style="30" hidden="1" customWidth="1" outlineLevel="1"/>
    <col min="32" max="32" width="145.5703125" style="61" customWidth="1" collapsed="1"/>
    <col min="33" max="33" width="208.5703125" style="31" hidden="1" customWidth="1"/>
    <col min="34" max="37" width="11.42578125" style="31" hidden="1" customWidth="1"/>
    <col min="38" max="41" width="0" style="31" hidden="1"/>
    <col min="42" max="16381" width="11.42578125" style="31" hidden="1"/>
    <col min="16382" max="16382" width="11.42578125" style="31" hidden="1" customWidth="1"/>
    <col min="16383" max="16383" width="11.42578125" style="31" hidden="1"/>
    <col min="16384" max="16384" width="17.85546875" style="31" hidden="1"/>
  </cols>
  <sheetData>
    <row r="1" spans="1:32" s="26" customFormat="1" ht="30" x14ac:dyDescent="0.25">
      <c r="D1" s="37"/>
      <c r="E1" s="57" t="s">
        <v>330</v>
      </c>
      <c r="G1" s="37"/>
      <c r="H1" s="57" t="s">
        <v>331</v>
      </c>
      <c r="I1" s="81"/>
      <c r="P1" s="37"/>
      <c r="Q1" s="57" t="s">
        <v>332</v>
      </c>
      <c r="Y1" s="37"/>
      <c r="Z1" s="57" t="s">
        <v>378</v>
      </c>
      <c r="AE1" s="37"/>
      <c r="AF1" s="57"/>
    </row>
    <row r="2" spans="1:32" s="28" customFormat="1" ht="30.75" customHeight="1" x14ac:dyDescent="0.25">
      <c r="B2" s="28" t="s">
        <v>0</v>
      </c>
      <c r="C2" s="28" t="s">
        <v>1</v>
      </c>
      <c r="D2" s="29" t="s">
        <v>2</v>
      </c>
      <c r="E2" s="58" t="s">
        <v>94</v>
      </c>
      <c r="F2" s="28" t="s">
        <v>92</v>
      </c>
      <c r="G2" s="29" t="s">
        <v>144</v>
      </c>
      <c r="H2" s="58" t="s">
        <v>3</v>
      </c>
      <c r="I2" s="82" t="s">
        <v>7</v>
      </c>
      <c r="J2" s="28" t="s">
        <v>7</v>
      </c>
      <c r="K2" s="28" t="s">
        <v>413</v>
      </c>
      <c r="L2" s="28" t="s">
        <v>414</v>
      </c>
      <c r="M2" s="28" t="s">
        <v>334</v>
      </c>
      <c r="N2" s="28" t="s">
        <v>68</v>
      </c>
      <c r="O2" s="28" t="s">
        <v>67</v>
      </c>
      <c r="P2" s="29" t="s">
        <v>95</v>
      </c>
      <c r="Q2" s="58" t="s">
        <v>96</v>
      </c>
      <c r="R2" s="28" t="s">
        <v>463</v>
      </c>
      <c r="S2" s="28" t="s">
        <v>144</v>
      </c>
      <c r="T2" s="28" t="s">
        <v>335</v>
      </c>
      <c r="U2" s="28" t="s">
        <v>144</v>
      </c>
      <c r="V2" s="28" t="s">
        <v>465</v>
      </c>
      <c r="W2" s="28" t="s">
        <v>464</v>
      </c>
      <c r="X2" s="28" t="s">
        <v>144</v>
      </c>
      <c r="Y2" s="29" t="s">
        <v>466</v>
      </c>
      <c r="Z2" s="58" t="s">
        <v>480</v>
      </c>
      <c r="AA2" s="28" t="s">
        <v>8</v>
      </c>
      <c r="AB2" s="28" t="s">
        <v>85</v>
      </c>
      <c r="AC2" s="28" t="s">
        <v>108</v>
      </c>
      <c r="AD2" s="28" t="s">
        <v>411</v>
      </c>
      <c r="AE2" s="29" t="s">
        <v>412</v>
      </c>
      <c r="AF2" s="58" t="s">
        <v>31</v>
      </c>
    </row>
    <row r="3" spans="1:32" s="39" customFormat="1" x14ac:dyDescent="0.25">
      <c r="A3" s="38" t="s">
        <v>9</v>
      </c>
      <c r="D3" s="40"/>
      <c r="E3" s="59"/>
      <c r="F3" s="39" t="s">
        <v>66</v>
      </c>
      <c r="G3" s="40" t="s">
        <v>97</v>
      </c>
      <c r="H3" s="59"/>
      <c r="I3" s="83" t="s">
        <v>17</v>
      </c>
      <c r="J3" s="39" t="s">
        <v>147</v>
      </c>
      <c r="O3" s="39" t="s">
        <v>183</v>
      </c>
      <c r="P3" s="40" t="s">
        <v>184</v>
      </c>
      <c r="Q3" s="59" t="s">
        <v>467</v>
      </c>
      <c r="R3" s="39" t="s">
        <v>462</v>
      </c>
      <c r="S3" s="39" t="s">
        <v>185</v>
      </c>
      <c r="T3" s="39" t="s">
        <v>147</v>
      </c>
      <c r="U3" s="39" t="s">
        <v>97</v>
      </c>
      <c r="V3" s="39" t="s">
        <v>462</v>
      </c>
      <c r="W3" s="39" t="s">
        <v>147</v>
      </c>
      <c r="X3" s="39" t="s">
        <v>97</v>
      </c>
      <c r="Y3" s="40" t="s">
        <v>462</v>
      </c>
      <c r="Z3" s="59" t="s">
        <v>137</v>
      </c>
      <c r="AA3" s="39" t="s">
        <v>138</v>
      </c>
      <c r="AB3" s="39" t="s">
        <v>86</v>
      </c>
      <c r="AC3" s="39" t="s">
        <v>109</v>
      </c>
      <c r="AD3" s="39" t="s">
        <v>66</v>
      </c>
      <c r="AE3" s="40" t="s">
        <v>66</v>
      </c>
      <c r="AF3" s="59"/>
    </row>
    <row r="4" spans="1:32" s="74" customFormat="1" ht="15" customHeight="1" x14ac:dyDescent="0.25">
      <c r="B4" s="50" t="s">
        <v>483</v>
      </c>
      <c r="C4" s="50" t="s">
        <v>135</v>
      </c>
      <c r="D4" s="51" t="s">
        <v>136</v>
      </c>
      <c r="E4" s="60" t="s">
        <v>481</v>
      </c>
      <c r="F4" s="50">
        <v>20</v>
      </c>
      <c r="G4" s="51">
        <v>18</v>
      </c>
      <c r="H4" s="76" t="s">
        <v>26</v>
      </c>
      <c r="I4" s="84">
        <f>760*0.8</f>
        <v>608</v>
      </c>
      <c r="J4" s="74" t="s">
        <v>14</v>
      </c>
      <c r="K4" s="74" t="s">
        <v>22</v>
      </c>
      <c r="L4" s="74" t="s">
        <v>23</v>
      </c>
      <c r="M4" s="74" t="s">
        <v>87</v>
      </c>
      <c r="N4" s="74" t="s">
        <v>14</v>
      </c>
      <c r="O4" s="50">
        <v>20</v>
      </c>
      <c r="P4" s="75" t="s">
        <v>14</v>
      </c>
      <c r="Q4" s="138">
        <f>I4*R4/100</f>
        <v>152</v>
      </c>
      <c r="R4" s="139">
        <v>25</v>
      </c>
      <c r="S4" s="56" t="s">
        <v>14</v>
      </c>
      <c r="T4" s="52" t="s">
        <v>14</v>
      </c>
      <c r="U4" s="52" t="s">
        <v>14</v>
      </c>
      <c r="V4" s="50" t="s">
        <v>14</v>
      </c>
      <c r="W4" s="50" t="s">
        <v>14</v>
      </c>
      <c r="X4" s="50" t="s">
        <v>14</v>
      </c>
      <c r="Y4" s="51" t="s">
        <v>14</v>
      </c>
      <c r="Z4" s="78">
        <v>160</v>
      </c>
      <c r="AA4" s="50">
        <v>0</v>
      </c>
      <c r="AB4" s="169" t="s">
        <v>14</v>
      </c>
      <c r="AC4" s="169" t="s">
        <v>14</v>
      </c>
      <c r="AD4" s="77" t="s">
        <v>14</v>
      </c>
      <c r="AE4" s="75" t="s">
        <v>14</v>
      </c>
      <c r="AF4" s="137" t="s">
        <v>499</v>
      </c>
    </row>
    <row r="5" spans="1:32" s="74" customFormat="1" x14ac:dyDescent="0.25">
      <c r="B5" s="50" t="s">
        <v>497</v>
      </c>
      <c r="C5" s="50" t="s">
        <v>135</v>
      </c>
      <c r="D5" s="51" t="s">
        <v>136</v>
      </c>
      <c r="E5" s="60" t="s">
        <v>481</v>
      </c>
      <c r="F5" s="50">
        <v>20</v>
      </c>
      <c r="G5" s="51">
        <v>18</v>
      </c>
      <c r="H5" s="76" t="s">
        <v>27</v>
      </c>
      <c r="I5" s="84">
        <f>200*8</f>
        <v>1600</v>
      </c>
      <c r="J5" s="74" t="s">
        <v>14</v>
      </c>
      <c r="K5" s="74" t="s">
        <v>22</v>
      </c>
      <c r="L5" s="74" t="s">
        <v>23</v>
      </c>
      <c r="M5" s="74" t="s">
        <v>87</v>
      </c>
      <c r="N5" s="74" t="s">
        <v>14</v>
      </c>
      <c r="O5" s="50">
        <v>20</v>
      </c>
      <c r="P5" s="75" t="s">
        <v>14</v>
      </c>
      <c r="Q5" s="138">
        <f t="shared" ref="Q5:Q6" si="0">I5*R5/100</f>
        <v>400</v>
      </c>
      <c r="R5" s="139">
        <v>25</v>
      </c>
      <c r="S5" s="56" t="s">
        <v>14</v>
      </c>
      <c r="T5" s="52" t="s">
        <v>14</v>
      </c>
      <c r="U5" s="52" t="s">
        <v>14</v>
      </c>
      <c r="V5" s="50" t="s">
        <v>14</v>
      </c>
      <c r="W5" s="50" t="s">
        <v>14</v>
      </c>
      <c r="X5" s="50" t="s">
        <v>14</v>
      </c>
      <c r="Y5" s="51" t="s">
        <v>14</v>
      </c>
      <c r="Z5" s="78">
        <v>400</v>
      </c>
      <c r="AA5" s="50">
        <v>0</v>
      </c>
      <c r="AB5" s="169" t="s">
        <v>14</v>
      </c>
      <c r="AC5" s="32" t="s">
        <v>14</v>
      </c>
      <c r="AD5" s="50" t="s">
        <v>14</v>
      </c>
      <c r="AE5" s="75" t="s">
        <v>14</v>
      </c>
      <c r="AF5" s="137" t="s">
        <v>499</v>
      </c>
    </row>
    <row r="6" spans="1:32" s="49" customFormat="1" x14ac:dyDescent="0.25">
      <c r="B6" s="50" t="s">
        <v>498</v>
      </c>
      <c r="C6" s="50" t="s">
        <v>135</v>
      </c>
      <c r="D6" s="51" t="s">
        <v>136</v>
      </c>
      <c r="E6" s="60" t="s">
        <v>481</v>
      </c>
      <c r="F6" s="50">
        <v>20</v>
      </c>
      <c r="G6" s="51">
        <v>18</v>
      </c>
      <c r="H6" s="60" t="s">
        <v>21</v>
      </c>
      <c r="I6" s="140">
        <f>800*8</f>
        <v>6400</v>
      </c>
      <c r="J6" s="52" t="s">
        <v>14</v>
      </c>
      <c r="K6" s="50" t="s">
        <v>22</v>
      </c>
      <c r="L6" s="50" t="s">
        <v>22</v>
      </c>
      <c r="M6" s="54" t="s">
        <v>479</v>
      </c>
      <c r="N6" s="50" t="s">
        <v>14</v>
      </c>
      <c r="O6" s="53">
        <v>20</v>
      </c>
      <c r="P6" s="55" t="s">
        <v>14</v>
      </c>
      <c r="Q6" s="138">
        <f t="shared" si="0"/>
        <v>1600</v>
      </c>
      <c r="R6" s="139">
        <v>25</v>
      </c>
      <c r="S6" s="56" t="s">
        <v>14</v>
      </c>
      <c r="T6" s="52" t="s">
        <v>14</v>
      </c>
      <c r="U6" s="52" t="s">
        <v>14</v>
      </c>
      <c r="V6" s="50" t="s">
        <v>14</v>
      </c>
      <c r="W6" s="50" t="s">
        <v>14</v>
      </c>
      <c r="X6" s="50" t="s">
        <v>14</v>
      </c>
      <c r="Y6" s="51" t="s">
        <v>14</v>
      </c>
      <c r="Z6" s="78">
        <v>1200</v>
      </c>
      <c r="AA6" s="50">
        <v>220</v>
      </c>
      <c r="AB6" s="170" t="s">
        <v>14</v>
      </c>
      <c r="AC6" s="32" t="s">
        <v>14</v>
      </c>
      <c r="AD6" s="50" t="s">
        <v>14</v>
      </c>
      <c r="AE6" s="141" t="s">
        <v>14</v>
      </c>
      <c r="AF6" s="137" t="s">
        <v>499</v>
      </c>
    </row>
    <row r="7" spans="1:32" x14ac:dyDescent="0.25">
      <c r="B7" s="31" t="s">
        <v>75</v>
      </c>
      <c r="C7" s="32" t="s">
        <v>72</v>
      </c>
      <c r="D7" s="41">
        <v>2021</v>
      </c>
      <c r="E7" s="136" t="s">
        <v>141</v>
      </c>
      <c r="F7" s="32">
        <v>20</v>
      </c>
      <c r="G7" s="41" t="s">
        <v>14</v>
      </c>
      <c r="H7" s="136" t="s">
        <v>25</v>
      </c>
      <c r="I7" s="85">
        <v>384</v>
      </c>
      <c r="J7" s="34">
        <v>480</v>
      </c>
      <c r="K7" s="32" t="s">
        <v>22</v>
      </c>
      <c r="L7" s="32" t="s">
        <v>23</v>
      </c>
      <c r="M7" s="42" t="s">
        <v>87</v>
      </c>
      <c r="N7" s="32" t="s">
        <v>338</v>
      </c>
      <c r="O7" s="32"/>
      <c r="P7" s="43" t="s">
        <v>142</v>
      </c>
      <c r="Q7" s="62">
        <v>92</v>
      </c>
      <c r="R7" s="34">
        <f>$Q7/I7*100</f>
        <v>23.958333333333336</v>
      </c>
      <c r="S7" s="33" t="s">
        <v>14</v>
      </c>
      <c r="T7" s="34" t="s">
        <v>14</v>
      </c>
      <c r="U7" s="34" t="s">
        <v>14</v>
      </c>
      <c r="V7" s="32" t="s">
        <v>14</v>
      </c>
      <c r="W7" s="32" t="s">
        <v>14</v>
      </c>
      <c r="X7" s="32" t="s">
        <v>14</v>
      </c>
      <c r="Y7" s="41" t="s">
        <v>14</v>
      </c>
      <c r="Z7" s="62">
        <v>100</v>
      </c>
      <c r="AA7" s="32" t="s">
        <v>14</v>
      </c>
      <c r="AB7" s="34" t="s">
        <v>14</v>
      </c>
      <c r="AC7" s="32" t="s">
        <v>14</v>
      </c>
      <c r="AD7" s="34" t="s">
        <v>14</v>
      </c>
      <c r="AE7" s="41" t="s">
        <v>14</v>
      </c>
      <c r="AF7" s="136"/>
    </row>
    <row r="8" spans="1:32" x14ac:dyDescent="0.25">
      <c r="B8" s="31" t="s">
        <v>76</v>
      </c>
      <c r="C8" s="32" t="s">
        <v>72</v>
      </c>
      <c r="D8" s="41">
        <v>2021</v>
      </c>
      <c r="E8" s="136" t="s">
        <v>141</v>
      </c>
      <c r="F8" s="32">
        <v>20</v>
      </c>
      <c r="G8" s="41" t="s">
        <v>14</v>
      </c>
      <c r="H8" s="136" t="s">
        <v>26</v>
      </c>
      <c r="I8" s="85">
        <v>608</v>
      </c>
      <c r="J8" s="34">
        <v>760</v>
      </c>
      <c r="K8" s="32" t="s">
        <v>22</v>
      </c>
      <c r="L8" s="32" t="s">
        <v>23</v>
      </c>
      <c r="M8" s="42" t="s">
        <v>87</v>
      </c>
      <c r="N8" s="32" t="s">
        <v>338</v>
      </c>
      <c r="O8" s="32"/>
      <c r="P8" s="43" t="s">
        <v>142</v>
      </c>
      <c r="Q8" s="62">
        <v>146</v>
      </c>
      <c r="R8" s="34">
        <f>$Q8/I8*100</f>
        <v>24.013157894736842</v>
      </c>
      <c r="S8" s="33" t="s">
        <v>14</v>
      </c>
      <c r="T8" s="34" t="s">
        <v>14</v>
      </c>
      <c r="U8" s="34" t="s">
        <v>14</v>
      </c>
      <c r="V8" s="32" t="s">
        <v>14</v>
      </c>
      <c r="W8" s="32" t="s">
        <v>14</v>
      </c>
      <c r="X8" s="32" t="s">
        <v>14</v>
      </c>
      <c r="Y8" s="41" t="s">
        <v>14</v>
      </c>
      <c r="Z8" s="62">
        <v>160</v>
      </c>
      <c r="AA8" s="32" t="s">
        <v>14</v>
      </c>
      <c r="AB8" s="34" t="s">
        <v>14</v>
      </c>
      <c r="AC8" s="32" t="s">
        <v>14</v>
      </c>
      <c r="AD8" s="34" t="s">
        <v>14</v>
      </c>
      <c r="AE8" s="41" t="s">
        <v>14</v>
      </c>
      <c r="AF8" s="136"/>
    </row>
    <row r="9" spans="1:32" x14ac:dyDescent="0.25">
      <c r="B9" s="31" t="s">
        <v>77</v>
      </c>
      <c r="C9" s="32" t="s">
        <v>72</v>
      </c>
      <c r="D9" s="41">
        <v>2021</v>
      </c>
      <c r="E9" s="136" t="s">
        <v>141</v>
      </c>
      <c r="F9" s="32">
        <v>20</v>
      </c>
      <c r="G9" s="41" t="s">
        <v>14</v>
      </c>
      <c r="H9" s="136" t="s">
        <v>27</v>
      </c>
      <c r="I9" s="85">
        <v>944</v>
      </c>
      <c r="J9" s="34">
        <v>1180</v>
      </c>
      <c r="K9" s="32" t="s">
        <v>22</v>
      </c>
      <c r="L9" s="32" t="s">
        <v>23</v>
      </c>
      <c r="M9" s="42" t="s">
        <v>87</v>
      </c>
      <c r="N9" s="32" t="s">
        <v>338</v>
      </c>
      <c r="O9" s="32"/>
      <c r="P9" s="43" t="s">
        <v>142</v>
      </c>
      <c r="Q9" s="62">
        <v>256</v>
      </c>
      <c r="R9" s="34">
        <f>$Q9/I9*100</f>
        <v>27.118644067796609</v>
      </c>
      <c r="S9" s="33" t="s">
        <v>14</v>
      </c>
      <c r="T9" s="34" t="s">
        <v>14</v>
      </c>
      <c r="U9" s="34" t="s">
        <v>14</v>
      </c>
      <c r="V9" s="32" t="s">
        <v>14</v>
      </c>
      <c r="W9" s="32" t="s">
        <v>14</v>
      </c>
      <c r="X9" s="32" t="s">
        <v>14</v>
      </c>
      <c r="Y9" s="41" t="s">
        <v>14</v>
      </c>
      <c r="Z9" s="62">
        <v>250</v>
      </c>
      <c r="AA9" s="32" t="s">
        <v>14</v>
      </c>
      <c r="AB9" s="34" t="s">
        <v>14</v>
      </c>
      <c r="AC9" s="32" t="s">
        <v>14</v>
      </c>
      <c r="AD9" s="34" t="s">
        <v>14</v>
      </c>
      <c r="AE9" s="41" t="s">
        <v>14</v>
      </c>
      <c r="AF9" s="136"/>
    </row>
    <row r="10" spans="1:32" x14ac:dyDescent="0.25">
      <c r="B10" s="31" t="s">
        <v>78</v>
      </c>
      <c r="C10" s="32" t="s">
        <v>72</v>
      </c>
      <c r="D10" s="41">
        <v>2021</v>
      </c>
      <c r="E10" s="136" t="s">
        <v>141</v>
      </c>
      <c r="F10" s="32">
        <v>20</v>
      </c>
      <c r="G10" s="41" t="s">
        <v>14</v>
      </c>
      <c r="H10" s="136" t="s">
        <v>27</v>
      </c>
      <c r="I10" s="85">
        <v>1520</v>
      </c>
      <c r="J10" s="34">
        <v>1900</v>
      </c>
      <c r="K10" s="32" t="s">
        <v>22</v>
      </c>
      <c r="L10" s="32" t="s">
        <v>23</v>
      </c>
      <c r="M10" s="42" t="s">
        <v>87</v>
      </c>
      <c r="N10" s="32" t="s">
        <v>338</v>
      </c>
      <c r="O10" s="32"/>
      <c r="P10" s="43" t="s">
        <v>142</v>
      </c>
      <c r="Q10" s="62">
        <v>364</v>
      </c>
      <c r="R10" s="34">
        <f>$Q10/I10*100</f>
        <v>23.94736842105263</v>
      </c>
      <c r="S10" s="33" t="s">
        <v>14</v>
      </c>
      <c r="T10" s="34" t="s">
        <v>14</v>
      </c>
      <c r="U10" s="34" t="s">
        <v>14</v>
      </c>
      <c r="V10" s="32" t="s">
        <v>14</v>
      </c>
      <c r="W10" s="32" t="s">
        <v>14</v>
      </c>
      <c r="X10" s="32" t="s">
        <v>14</v>
      </c>
      <c r="Y10" s="41" t="s">
        <v>14</v>
      </c>
      <c r="Z10" s="62">
        <v>400</v>
      </c>
      <c r="AA10" s="32" t="s">
        <v>14</v>
      </c>
      <c r="AB10" s="34" t="s">
        <v>14</v>
      </c>
      <c r="AC10" s="32" t="s">
        <v>14</v>
      </c>
      <c r="AD10" s="34" t="s">
        <v>14</v>
      </c>
      <c r="AE10" s="41" t="s">
        <v>14</v>
      </c>
      <c r="AF10" s="136"/>
    </row>
    <row r="11" spans="1:32" x14ac:dyDescent="0.25">
      <c r="B11" s="31" t="s">
        <v>79</v>
      </c>
      <c r="C11" s="32" t="s">
        <v>72</v>
      </c>
      <c r="D11" s="41">
        <v>2021</v>
      </c>
      <c r="E11" s="136" t="s">
        <v>141</v>
      </c>
      <c r="F11" s="32">
        <v>20</v>
      </c>
      <c r="G11" s="41" t="s">
        <v>14</v>
      </c>
      <c r="H11" s="136" t="s">
        <v>27</v>
      </c>
      <c r="I11" s="85">
        <v>1888</v>
      </c>
      <c r="J11" s="34">
        <v>2360</v>
      </c>
      <c r="K11" s="32" t="s">
        <v>22</v>
      </c>
      <c r="L11" s="32" t="s">
        <v>23</v>
      </c>
      <c r="M11" s="42" t="s">
        <v>87</v>
      </c>
      <c r="N11" s="32" t="s">
        <v>338</v>
      </c>
      <c r="O11" s="32"/>
      <c r="P11" s="43" t="s">
        <v>142</v>
      </c>
      <c r="Q11" s="62">
        <v>453</v>
      </c>
      <c r="R11" s="34">
        <f>$Q11/I11*100</f>
        <v>23.993644067796609</v>
      </c>
      <c r="S11" s="33" t="s">
        <v>14</v>
      </c>
      <c r="T11" s="34" t="s">
        <v>14</v>
      </c>
      <c r="U11" s="34" t="s">
        <v>14</v>
      </c>
      <c r="V11" s="32" t="s">
        <v>14</v>
      </c>
      <c r="W11" s="32" t="s">
        <v>14</v>
      </c>
      <c r="X11" s="32" t="s">
        <v>14</v>
      </c>
      <c r="Y11" s="41" t="s">
        <v>14</v>
      </c>
      <c r="Z11" s="62">
        <v>500</v>
      </c>
      <c r="AA11" s="32" t="s">
        <v>14</v>
      </c>
      <c r="AB11" s="34" t="s">
        <v>14</v>
      </c>
      <c r="AC11" s="32" t="s">
        <v>14</v>
      </c>
      <c r="AD11" s="34" t="s">
        <v>14</v>
      </c>
      <c r="AE11" s="41" t="s">
        <v>14</v>
      </c>
      <c r="AF11" s="136"/>
    </row>
    <row r="12" spans="1:32" x14ac:dyDescent="0.25">
      <c r="B12" s="31" t="s">
        <v>73</v>
      </c>
      <c r="C12" s="32" t="s">
        <v>72</v>
      </c>
      <c r="D12" s="41">
        <v>2023</v>
      </c>
      <c r="E12" s="136" t="s">
        <v>486</v>
      </c>
      <c r="F12" s="32">
        <v>15</v>
      </c>
      <c r="G12" s="41">
        <v>18.2</v>
      </c>
      <c r="H12" s="136" t="s">
        <v>27</v>
      </c>
      <c r="I12" s="85">
        <f>0.85*J12</f>
        <v>935</v>
      </c>
      <c r="J12" s="34">
        <v>1100</v>
      </c>
      <c r="K12" s="32" t="s">
        <v>22</v>
      </c>
      <c r="L12" s="32" t="s">
        <v>14</v>
      </c>
      <c r="M12" s="42" t="s">
        <v>87</v>
      </c>
      <c r="N12" s="32" t="s">
        <v>337</v>
      </c>
      <c r="O12" s="32" t="s">
        <v>14</v>
      </c>
      <c r="P12" s="43" t="s">
        <v>140</v>
      </c>
      <c r="Q12" s="62">
        <v>260</v>
      </c>
      <c r="R12" s="34">
        <f>Q12/I12*100</f>
        <v>27.807486631016044</v>
      </c>
      <c r="S12" s="33" t="s">
        <v>14</v>
      </c>
      <c r="T12" s="34" t="s">
        <v>14</v>
      </c>
      <c r="U12" s="34" t="s">
        <v>14</v>
      </c>
      <c r="V12" s="32" t="s">
        <v>14</v>
      </c>
      <c r="W12" s="32" t="s">
        <v>14</v>
      </c>
      <c r="X12" s="32" t="s">
        <v>14</v>
      </c>
      <c r="Y12" s="41" t="s">
        <v>14</v>
      </c>
      <c r="Z12" s="62">
        <v>200</v>
      </c>
      <c r="AA12" s="32" t="s">
        <v>14</v>
      </c>
      <c r="AB12" s="34" t="s">
        <v>14</v>
      </c>
      <c r="AC12" s="32" t="s">
        <v>14</v>
      </c>
      <c r="AD12" s="34" t="s">
        <v>14</v>
      </c>
      <c r="AE12" s="41" t="s">
        <v>14</v>
      </c>
      <c r="AF12" s="136" t="s">
        <v>492</v>
      </c>
    </row>
    <row r="13" spans="1:32" x14ac:dyDescent="0.25">
      <c r="B13" s="31" t="s">
        <v>74</v>
      </c>
      <c r="C13" s="32" t="s">
        <v>72</v>
      </c>
      <c r="D13" s="41">
        <v>2023</v>
      </c>
      <c r="E13" s="136" t="s">
        <v>486</v>
      </c>
      <c r="F13" s="32">
        <v>15</v>
      </c>
      <c r="G13" s="41">
        <v>18.2</v>
      </c>
      <c r="H13" s="136" t="s">
        <v>21</v>
      </c>
      <c r="I13" s="85">
        <f t="shared" ref="I13:I14" si="1">0.85*J13</f>
        <v>2465</v>
      </c>
      <c r="J13" s="34">
        <v>2900</v>
      </c>
      <c r="K13" s="32" t="s">
        <v>22</v>
      </c>
      <c r="L13" s="32" t="s">
        <v>14</v>
      </c>
      <c r="M13" s="42" t="s">
        <v>88</v>
      </c>
      <c r="N13" s="32" t="s">
        <v>337</v>
      </c>
      <c r="O13" s="32" t="s">
        <v>14</v>
      </c>
      <c r="P13" s="43" t="s">
        <v>140</v>
      </c>
      <c r="Q13" s="62">
        <v>750</v>
      </c>
      <c r="R13" s="34">
        <f>Q13/I13*100</f>
        <v>30.425963488843816</v>
      </c>
      <c r="S13" s="33" t="s">
        <v>14</v>
      </c>
      <c r="T13" s="34" t="s">
        <v>14</v>
      </c>
      <c r="U13" s="34" t="s">
        <v>14</v>
      </c>
      <c r="V13" s="32" t="s">
        <v>14</v>
      </c>
      <c r="W13" s="32" t="s">
        <v>14</v>
      </c>
      <c r="X13" s="32" t="s">
        <v>14</v>
      </c>
      <c r="Y13" s="41" t="s">
        <v>14</v>
      </c>
      <c r="Z13" s="62">
        <v>625</v>
      </c>
      <c r="AA13" s="32" t="s">
        <v>14</v>
      </c>
      <c r="AB13" s="34" t="s">
        <v>14</v>
      </c>
      <c r="AC13" s="32" t="s">
        <v>14</v>
      </c>
      <c r="AD13" s="34" t="s">
        <v>14</v>
      </c>
      <c r="AE13" s="41" t="s">
        <v>14</v>
      </c>
      <c r="AF13" s="136" t="s">
        <v>492</v>
      </c>
    </row>
    <row r="14" spans="1:32" x14ac:dyDescent="0.25">
      <c r="B14" s="31" t="s">
        <v>488</v>
      </c>
      <c r="C14" s="32" t="s">
        <v>72</v>
      </c>
      <c r="D14" s="41">
        <v>2023</v>
      </c>
      <c r="E14" s="136" t="s">
        <v>486</v>
      </c>
      <c r="F14" s="32">
        <v>15</v>
      </c>
      <c r="G14" s="41">
        <v>18.2</v>
      </c>
      <c r="H14" s="136" t="s">
        <v>24</v>
      </c>
      <c r="I14" s="85">
        <f t="shared" si="1"/>
        <v>9860</v>
      </c>
      <c r="J14" s="34">
        <v>11600</v>
      </c>
      <c r="K14" s="32" t="s">
        <v>22</v>
      </c>
      <c r="L14" s="32" t="s">
        <v>14</v>
      </c>
      <c r="M14" s="42" t="s">
        <v>489</v>
      </c>
      <c r="N14" s="32" t="s">
        <v>337</v>
      </c>
      <c r="O14" s="32" t="s">
        <v>14</v>
      </c>
      <c r="P14" s="43" t="s">
        <v>140</v>
      </c>
      <c r="Q14" s="62">
        <v>3000</v>
      </c>
      <c r="R14" s="34">
        <f t="shared" ref="R14:R16" si="2">Q14/I14*100</f>
        <v>30.425963488843816</v>
      </c>
      <c r="S14" s="33" t="s">
        <v>14</v>
      </c>
      <c r="T14" s="34" t="s">
        <v>14</v>
      </c>
      <c r="U14" s="34" t="s">
        <v>14</v>
      </c>
      <c r="V14" s="32" t="s">
        <v>14</v>
      </c>
      <c r="W14" s="32" t="s">
        <v>14</v>
      </c>
      <c r="X14" s="32" t="s">
        <v>14</v>
      </c>
      <c r="Y14" s="41" t="s">
        <v>14</v>
      </c>
      <c r="Z14" s="62">
        <v>2500</v>
      </c>
      <c r="AA14" s="32" t="s">
        <v>14</v>
      </c>
      <c r="AB14" s="34" t="s">
        <v>14</v>
      </c>
      <c r="AC14" s="32" t="s">
        <v>14</v>
      </c>
      <c r="AD14" s="34" t="s">
        <v>14</v>
      </c>
      <c r="AE14" s="41" t="s">
        <v>14</v>
      </c>
      <c r="AF14" s="136" t="s">
        <v>492</v>
      </c>
    </row>
    <row r="15" spans="1:32" x14ac:dyDescent="0.25">
      <c r="B15" s="31" t="s">
        <v>73</v>
      </c>
      <c r="C15" s="32" t="s">
        <v>72</v>
      </c>
      <c r="D15" s="41">
        <v>2023</v>
      </c>
      <c r="E15" s="136" t="s">
        <v>487</v>
      </c>
      <c r="F15" s="32">
        <v>10</v>
      </c>
      <c r="G15" s="41">
        <v>13</v>
      </c>
      <c r="H15" s="136" t="s">
        <v>21</v>
      </c>
      <c r="I15" s="85">
        <f>0.9*J15</f>
        <v>1170</v>
      </c>
      <c r="J15" s="34">
        <v>1300</v>
      </c>
      <c r="K15" s="32" t="s">
        <v>22</v>
      </c>
      <c r="L15" s="32" t="s">
        <v>14</v>
      </c>
      <c r="M15" s="42" t="s">
        <v>490</v>
      </c>
      <c r="N15" s="32" t="s">
        <v>337</v>
      </c>
      <c r="O15" s="32" t="s">
        <v>14</v>
      </c>
      <c r="P15" s="43" t="s">
        <v>140</v>
      </c>
      <c r="Q15" s="62">
        <v>800</v>
      </c>
      <c r="R15" s="34">
        <f t="shared" si="2"/>
        <v>68.376068376068375</v>
      </c>
      <c r="S15" s="33" t="s">
        <v>14</v>
      </c>
      <c r="T15" s="34" t="s">
        <v>14</v>
      </c>
      <c r="U15" s="34" t="s">
        <v>14</v>
      </c>
      <c r="V15" s="32" t="s">
        <v>14</v>
      </c>
      <c r="W15" s="32" t="s">
        <v>14</v>
      </c>
      <c r="X15" s="32" t="s">
        <v>14</v>
      </c>
      <c r="Y15" s="41" t="s">
        <v>14</v>
      </c>
      <c r="Z15" s="62">
        <v>200</v>
      </c>
      <c r="AA15" s="32" t="s">
        <v>14</v>
      </c>
      <c r="AB15" s="34" t="s">
        <v>14</v>
      </c>
      <c r="AC15" s="32" t="s">
        <v>14</v>
      </c>
      <c r="AD15" s="34" t="s">
        <v>14</v>
      </c>
      <c r="AE15" s="41" t="s">
        <v>14</v>
      </c>
      <c r="AF15" s="136" t="s">
        <v>492</v>
      </c>
    </row>
    <row r="16" spans="1:32" x14ac:dyDescent="0.25">
      <c r="B16" s="31" t="s">
        <v>74</v>
      </c>
      <c r="C16" s="32" t="s">
        <v>72</v>
      </c>
      <c r="D16" s="41">
        <v>2023</v>
      </c>
      <c r="E16" s="136" t="s">
        <v>487</v>
      </c>
      <c r="F16" s="32">
        <v>10</v>
      </c>
      <c r="G16" s="41">
        <v>13</v>
      </c>
      <c r="H16" s="136" t="s">
        <v>493</v>
      </c>
      <c r="I16" s="85">
        <f>0.9*J16</f>
        <v>3510</v>
      </c>
      <c r="J16" s="34">
        <v>3900</v>
      </c>
      <c r="K16" s="32" t="s">
        <v>22</v>
      </c>
      <c r="L16" s="32" t="s">
        <v>14</v>
      </c>
      <c r="M16" s="42" t="s">
        <v>491</v>
      </c>
      <c r="N16" s="32" t="s">
        <v>337</v>
      </c>
      <c r="O16" s="32" t="s">
        <v>14</v>
      </c>
      <c r="P16" s="43" t="s">
        <v>140</v>
      </c>
      <c r="Q16" s="62">
        <v>2400</v>
      </c>
      <c r="R16" s="34">
        <f t="shared" si="2"/>
        <v>68.376068376068375</v>
      </c>
      <c r="S16" s="33" t="s">
        <v>14</v>
      </c>
      <c r="T16" s="34" t="s">
        <v>14</v>
      </c>
      <c r="U16" s="34" t="s">
        <v>14</v>
      </c>
      <c r="V16" s="32" t="s">
        <v>14</v>
      </c>
      <c r="W16" s="32" t="s">
        <v>14</v>
      </c>
      <c r="X16" s="32" t="s">
        <v>14</v>
      </c>
      <c r="Y16" s="41" t="s">
        <v>14</v>
      </c>
      <c r="Z16" s="62">
        <v>600</v>
      </c>
      <c r="AA16" s="32" t="s">
        <v>14</v>
      </c>
      <c r="AB16" s="34" t="s">
        <v>14</v>
      </c>
      <c r="AC16" s="32" t="s">
        <v>14</v>
      </c>
      <c r="AD16" s="34" t="s">
        <v>14</v>
      </c>
      <c r="AE16" s="41" t="s">
        <v>14</v>
      </c>
      <c r="AF16" s="136" t="s">
        <v>492</v>
      </c>
    </row>
    <row r="17" spans="2:32" x14ac:dyDescent="0.25">
      <c r="B17" s="31" t="s">
        <v>80</v>
      </c>
      <c r="C17" s="32" t="s">
        <v>89</v>
      </c>
      <c r="D17" s="41" t="s">
        <v>83</v>
      </c>
      <c r="E17" s="136" t="s">
        <v>173</v>
      </c>
      <c r="F17" s="32" t="s">
        <v>14</v>
      </c>
      <c r="G17" s="41" t="s">
        <v>14</v>
      </c>
      <c r="H17" s="136" t="s">
        <v>14</v>
      </c>
      <c r="I17" s="85" t="s">
        <v>14</v>
      </c>
      <c r="J17" s="34" t="s">
        <v>14</v>
      </c>
      <c r="K17" s="32" t="s">
        <v>14</v>
      </c>
      <c r="L17" s="32" t="s">
        <v>14</v>
      </c>
      <c r="M17" s="32" t="s">
        <v>14</v>
      </c>
      <c r="N17" s="32" t="s">
        <v>14</v>
      </c>
      <c r="O17" s="32" t="s">
        <v>14</v>
      </c>
      <c r="P17" s="41" t="s">
        <v>14</v>
      </c>
      <c r="Q17" s="62" t="s">
        <v>14</v>
      </c>
      <c r="R17" s="44" t="s">
        <v>14</v>
      </c>
      <c r="S17" s="33" t="s">
        <v>14</v>
      </c>
      <c r="T17" s="34" t="s">
        <v>14</v>
      </c>
      <c r="U17" s="34" t="s">
        <v>14</v>
      </c>
      <c r="V17" s="32" t="s">
        <v>14</v>
      </c>
      <c r="W17" s="32" t="s">
        <v>14</v>
      </c>
      <c r="X17" s="32" t="s">
        <v>14</v>
      </c>
      <c r="Y17" s="41" t="s">
        <v>14</v>
      </c>
      <c r="Z17" s="62" t="s">
        <v>32</v>
      </c>
      <c r="AA17" s="32" t="s">
        <v>14</v>
      </c>
      <c r="AB17" s="34" t="s">
        <v>14</v>
      </c>
      <c r="AC17" s="32" t="s">
        <v>14</v>
      </c>
      <c r="AD17" s="34" t="s">
        <v>14</v>
      </c>
      <c r="AE17" s="41" t="s">
        <v>14</v>
      </c>
      <c r="AF17" s="61" t="s">
        <v>143</v>
      </c>
    </row>
    <row r="18" spans="2:32" x14ac:dyDescent="0.25">
      <c r="B18" s="31" t="s">
        <v>90</v>
      </c>
      <c r="C18" s="32" t="s">
        <v>89</v>
      </c>
      <c r="D18" s="41" t="s">
        <v>84</v>
      </c>
      <c r="E18" s="136" t="s">
        <v>172</v>
      </c>
      <c r="F18" s="32" t="s">
        <v>145</v>
      </c>
      <c r="G18" s="41" t="s">
        <v>14</v>
      </c>
      <c r="H18" s="136" t="s">
        <v>25</v>
      </c>
      <c r="I18" s="85">
        <f>20*8*0.8</f>
        <v>128</v>
      </c>
      <c r="J18" s="34">
        <v>160</v>
      </c>
      <c r="K18" s="32" t="s">
        <v>22</v>
      </c>
      <c r="L18" s="32" t="s">
        <v>23</v>
      </c>
      <c r="M18" s="32" t="s">
        <v>14</v>
      </c>
      <c r="N18" s="32" t="s">
        <v>14</v>
      </c>
      <c r="O18" s="32" t="s">
        <v>14</v>
      </c>
      <c r="P18" s="43">
        <v>550</v>
      </c>
      <c r="Q18" s="62" t="s">
        <v>146</v>
      </c>
      <c r="R18" s="34">
        <f>40/128*100</f>
        <v>31.25</v>
      </c>
      <c r="S18" s="91" t="s">
        <v>381</v>
      </c>
      <c r="T18" s="34" t="s">
        <v>14</v>
      </c>
      <c r="U18" s="34" t="s">
        <v>14</v>
      </c>
      <c r="V18" s="32" t="s">
        <v>14</v>
      </c>
      <c r="W18" s="32" t="s">
        <v>14</v>
      </c>
      <c r="X18" s="32" t="s">
        <v>14</v>
      </c>
      <c r="Y18" s="41" t="s">
        <v>14</v>
      </c>
      <c r="Z18" s="62">
        <v>28</v>
      </c>
      <c r="AA18" s="32" t="s">
        <v>14</v>
      </c>
      <c r="AB18" s="34">
        <v>224</v>
      </c>
      <c r="AC18" s="32" t="s">
        <v>14</v>
      </c>
      <c r="AD18" s="34" t="str">
        <f>ROUND(Z18/((I18/8000)*18/3.6*1000),2)*100 &amp; " (a)"</f>
        <v>35 (a)</v>
      </c>
      <c r="AE18" s="41" t="s">
        <v>14</v>
      </c>
      <c r="AF18" s="136" t="s">
        <v>389</v>
      </c>
    </row>
    <row r="19" spans="2:32" x14ac:dyDescent="0.25">
      <c r="B19" s="31" t="s">
        <v>62</v>
      </c>
      <c r="C19" s="32" t="s">
        <v>20</v>
      </c>
      <c r="D19" s="41" t="s">
        <v>333</v>
      </c>
      <c r="E19" s="136" t="s">
        <v>29</v>
      </c>
      <c r="F19" s="32">
        <v>14</v>
      </c>
      <c r="G19" s="41" t="s">
        <v>14</v>
      </c>
      <c r="H19" s="136" t="s">
        <v>21</v>
      </c>
      <c r="I19" s="34">
        <f>1300*8/7.2</f>
        <v>1444.4444444444443</v>
      </c>
      <c r="J19" s="34">
        <f>1444/(100-F19)*100</f>
        <v>1679.0697674418607</v>
      </c>
      <c r="K19" s="32" t="s">
        <v>22</v>
      </c>
      <c r="L19" s="32" t="s">
        <v>23</v>
      </c>
      <c r="M19" s="32" t="s">
        <v>152</v>
      </c>
      <c r="N19" s="32" t="s">
        <v>153</v>
      </c>
      <c r="O19" s="32" t="s">
        <v>14</v>
      </c>
      <c r="P19" s="43" t="s">
        <v>150</v>
      </c>
      <c r="Q19" s="62">
        <v>633.33333333333337</v>
      </c>
      <c r="R19" s="34">
        <f>$Q19/I19*100</f>
        <v>43.846153846153854</v>
      </c>
      <c r="S19" s="33" t="s">
        <v>14</v>
      </c>
      <c r="T19" s="34" t="s">
        <v>14</v>
      </c>
      <c r="U19" s="34" t="s">
        <v>14</v>
      </c>
      <c r="V19" s="32" t="s">
        <v>14</v>
      </c>
      <c r="W19" s="32" t="s">
        <v>14</v>
      </c>
      <c r="X19" s="32" t="s">
        <v>14</v>
      </c>
      <c r="Y19" s="41" t="s">
        <v>14</v>
      </c>
      <c r="Z19" s="62">
        <v>150</v>
      </c>
      <c r="AA19" s="32" t="s">
        <v>14</v>
      </c>
      <c r="AB19" s="34">
        <f>Z19*8</f>
        <v>1200</v>
      </c>
      <c r="AC19" s="32" t="s">
        <v>14</v>
      </c>
      <c r="AD19" s="34" t="str">
        <f>ROUND(Z19/((I19/8000)*18/3.6*1000),2)*100 &amp; " (a)"</f>
        <v>17 (a)</v>
      </c>
      <c r="AE19" s="41" t="s">
        <v>14</v>
      </c>
      <c r="AF19" s="61" t="s">
        <v>388</v>
      </c>
    </row>
    <row r="20" spans="2:32" hidden="1" outlineLevel="1" x14ac:dyDescent="0.25">
      <c r="B20" s="31" t="s">
        <v>62</v>
      </c>
      <c r="C20" s="32" t="s">
        <v>20</v>
      </c>
      <c r="D20" s="41" t="s">
        <v>333</v>
      </c>
      <c r="E20" s="136" t="s">
        <v>30</v>
      </c>
      <c r="F20" s="32">
        <v>50</v>
      </c>
      <c r="G20" s="41" t="s">
        <v>14</v>
      </c>
      <c r="H20" s="136" t="s">
        <v>21</v>
      </c>
      <c r="I20" s="34">
        <f t="shared" ref="I20:I23" si="3">1300*8/7.2</f>
        <v>1444.4444444444443</v>
      </c>
      <c r="J20" s="34">
        <f t="shared" ref="J20:J23" si="4">1444/(100-F20)*100</f>
        <v>2888</v>
      </c>
      <c r="K20" s="32" t="s">
        <v>22</v>
      </c>
      <c r="L20" s="32" t="s">
        <v>23</v>
      </c>
      <c r="M20" s="32" t="s">
        <v>152</v>
      </c>
      <c r="N20" s="32" t="s">
        <v>153</v>
      </c>
      <c r="O20" s="32" t="s">
        <v>14</v>
      </c>
      <c r="P20" s="43" t="s">
        <v>150</v>
      </c>
      <c r="Q20" s="62">
        <v>522.22222222222217</v>
      </c>
      <c r="R20" s="34">
        <f t="shared" ref="R20:R23" si="5">$Q20/I20*100</f>
        <v>36.153846153846153</v>
      </c>
      <c r="S20" s="33" t="s">
        <v>14</v>
      </c>
      <c r="T20" s="34" t="s">
        <v>14</v>
      </c>
      <c r="U20" s="34" t="s">
        <v>14</v>
      </c>
      <c r="V20" s="32" t="s">
        <v>14</v>
      </c>
      <c r="W20" s="32" t="s">
        <v>14</v>
      </c>
      <c r="X20" s="32" t="s">
        <v>14</v>
      </c>
      <c r="Y20" s="41" t="s">
        <v>14</v>
      </c>
      <c r="Z20" s="80" t="s">
        <v>154</v>
      </c>
      <c r="AA20" s="32" t="s">
        <v>14</v>
      </c>
      <c r="AB20" s="34" t="s">
        <v>14</v>
      </c>
      <c r="AC20" s="32" t="s">
        <v>14</v>
      </c>
      <c r="AD20" s="45" t="s">
        <v>14</v>
      </c>
      <c r="AE20" s="41" t="s">
        <v>14</v>
      </c>
      <c r="AF20" s="61" t="s">
        <v>151</v>
      </c>
    </row>
    <row r="21" spans="2:32" hidden="1" outlineLevel="1" x14ac:dyDescent="0.25">
      <c r="B21" s="31" t="s">
        <v>62</v>
      </c>
      <c r="C21" s="32" t="s">
        <v>20</v>
      </c>
      <c r="D21" s="41" t="s">
        <v>333</v>
      </c>
      <c r="E21" s="136" t="s">
        <v>148</v>
      </c>
      <c r="F21" s="32">
        <v>50</v>
      </c>
      <c r="G21" s="41" t="s">
        <v>14</v>
      </c>
      <c r="H21" s="136" t="s">
        <v>21</v>
      </c>
      <c r="I21" s="34">
        <f t="shared" si="3"/>
        <v>1444.4444444444443</v>
      </c>
      <c r="J21" s="34">
        <f t="shared" si="4"/>
        <v>2888</v>
      </c>
      <c r="K21" s="32" t="s">
        <v>22</v>
      </c>
      <c r="L21" s="32" t="s">
        <v>23</v>
      </c>
      <c r="M21" s="32" t="s">
        <v>152</v>
      </c>
      <c r="N21" s="32" t="s">
        <v>153</v>
      </c>
      <c r="O21" s="32" t="s">
        <v>14</v>
      </c>
      <c r="P21" s="43" t="s">
        <v>150</v>
      </c>
      <c r="Q21" s="62">
        <v>533.33333333333337</v>
      </c>
      <c r="R21" s="34">
        <f t="shared" si="5"/>
        <v>36.923076923076934</v>
      </c>
      <c r="S21" s="33" t="s">
        <v>14</v>
      </c>
      <c r="T21" s="34" t="s">
        <v>14</v>
      </c>
      <c r="U21" s="34" t="s">
        <v>14</v>
      </c>
      <c r="V21" s="32" t="s">
        <v>14</v>
      </c>
      <c r="W21" s="32" t="s">
        <v>14</v>
      </c>
      <c r="X21" s="32" t="s">
        <v>14</v>
      </c>
      <c r="Y21" s="41" t="s">
        <v>14</v>
      </c>
      <c r="Z21" s="80" t="s">
        <v>154</v>
      </c>
      <c r="AA21" s="32" t="s">
        <v>14</v>
      </c>
      <c r="AB21" s="34" t="s">
        <v>14</v>
      </c>
      <c r="AC21" s="32" t="s">
        <v>14</v>
      </c>
      <c r="AD21" s="87" t="s">
        <v>14</v>
      </c>
      <c r="AE21" s="41" t="s">
        <v>14</v>
      </c>
      <c r="AF21" s="61" t="s">
        <v>151</v>
      </c>
    </row>
    <row r="22" spans="2:32" hidden="1" outlineLevel="1" x14ac:dyDescent="0.25">
      <c r="B22" s="31" t="s">
        <v>62</v>
      </c>
      <c r="C22" s="32" t="s">
        <v>20</v>
      </c>
      <c r="D22" s="41" t="s">
        <v>333</v>
      </c>
      <c r="E22" s="136" t="s">
        <v>149</v>
      </c>
      <c r="F22" s="34">
        <f>100-22.5</f>
        <v>77.5</v>
      </c>
      <c r="G22" s="41" t="s">
        <v>14</v>
      </c>
      <c r="H22" s="136" t="s">
        <v>21</v>
      </c>
      <c r="I22" s="34">
        <f t="shared" si="3"/>
        <v>1444.4444444444443</v>
      </c>
      <c r="J22" s="34">
        <f t="shared" si="4"/>
        <v>6417.7777777777774</v>
      </c>
      <c r="K22" s="32" t="s">
        <v>22</v>
      </c>
      <c r="L22" s="32" t="s">
        <v>23</v>
      </c>
      <c r="M22" s="32" t="s">
        <v>152</v>
      </c>
      <c r="N22" s="32" t="s">
        <v>153</v>
      </c>
      <c r="O22" s="32" t="s">
        <v>14</v>
      </c>
      <c r="P22" s="43" t="s">
        <v>150</v>
      </c>
      <c r="Q22" s="62">
        <v>622.22222222222217</v>
      </c>
      <c r="R22" s="34">
        <f t="shared" si="5"/>
        <v>43.076923076923073</v>
      </c>
      <c r="S22" s="33" t="s">
        <v>14</v>
      </c>
      <c r="T22" s="34" t="s">
        <v>14</v>
      </c>
      <c r="U22" s="34" t="s">
        <v>14</v>
      </c>
      <c r="V22" s="32" t="s">
        <v>14</v>
      </c>
      <c r="W22" s="32" t="s">
        <v>14</v>
      </c>
      <c r="X22" s="32" t="s">
        <v>14</v>
      </c>
      <c r="Y22" s="41" t="s">
        <v>14</v>
      </c>
      <c r="Z22" s="80" t="s">
        <v>155</v>
      </c>
      <c r="AA22" s="32" t="s">
        <v>14</v>
      </c>
      <c r="AB22" s="34" t="s">
        <v>14</v>
      </c>
      <c r="AC22" s="32" t="s">
        <v>14</v>
      </c>
      <c r="AD22" s="34" t="s">
        <v>14</v>
      </c>
      <c r="AE22" s="41" t="s">
        <v>14</v>
      </c>
      <c r="AF22" s="61" t="s">
        <v>151</v>
      </c>
    </row>
    <row r="23" spans="2:32" hidden="1" outlineLevel="1" x14ac:dyDescent="0.25">
      <c r="B23" s="31" t="s">
        <v>62</v>
      </c>
      <c r="C23" s="32" t="s">
        <v>20</v>
      </c>
      <c r="D23" s="41" t="s">
        <v>333</v>
      </c>
      <c r="E23" s="136" t="s">
        <v>33</v>
      </c>
      <c r="F23" s="34">
        <v>75</v>
      </c>
      <c r="G23" s="41" t="s">
        <v>14</v>
      </c>
      <c r="H23" s="136" t="s">
        <v>21</v>
      </c>
      <c r="I23" s="34">
        <f t="shared" si="3"/>
        <v>1444.4444444444443</v>
      </c>
      <c r="J23" s="34">
        <f t="shared" si="4"/>
        <v>5776</v>
      </c>
      <c r="K23" s="32" t="s">
        <v>22</v>
      </c>
      <c r="L23" s="32" t="s">
        <v>23</v>
      </c>
      <c r="M23" s="32" t="s">
        <v>152</v>
      </c>
      <c r="N23" s="32" t="s">
        <v>153</v>
      </c>
      <c r="O23" s="32" t="s">
        <v>14</v>
      </c>
      <c r="P23" s="43" t="s">
        <v>150</v>
      </c>
      <c r="Q23" s="62">
        <v>1100</v>
      </c>
      <c r="R23" s="34">
        <f t="shared" si="5"/>
        <v>76.15384615384616</v>
      </c>
      <c r="S23" s="33" t="s">
        <v>14</v>
      </c>
      <c r="T23" s="34" t="s">
        <v>14</v>
      </c>
      <c r="U23" s="34" t="s">
        <v>14</v>
      </c>
      <c r="V23" s="32" t="s">
        <v>14</v>
      </c>
      <c r="W23" s="32" t="s">
        <v>14</v>
      </c>
      <c r="X23" s="32" t="s">
        <v>14</v>
      </c>
      <c r="Y23" s="41" t="s">
        <v>14</v>
      </c>
      <c r="Z23" s="80" t="s">
        <v>155</v>
      </c>
      <c r="AA23" s="32" t="s">
        <v>14</v>
      </c>
      <c r="AB23" s="34" t="s">
        <v>14</v>
      </c>
      <c r="AC23" s="32" t="s">
        <v>14</v>
      </c>
      <c r="AD23" s="34" t="s">
        <v>14</v>
      </c>
      <c r="AE23" s="41" t="s">
        <v>14</v>
      </c>
      <c r="AF23" s="61" t="s">
        <v>151</v>
      </c>
    </row>
    <row r="24" spans="2:32" collapsed="1" x14ac:dyDescent="0.25">
      <c r="B24" s="31" t="s">
        <v>397</v>
      </c>
      <c r="C24" s="32" t="s">
        <v>20</v>
      </c>
      <c r="D24" s="41" t="s">
        <v>93</v>
      </c>
      <c r="E24" s="136" t="s">
        <v>29</v>
      </c>
      <c r="F24" s="34">
        <v>7.9</v>
      </c>
      <c r="G24" s="41" t="s">
        <v>156</v>
      </c>
      <c r="H24" s="136" t="s">
        <v>21</v>
      </c>
      <c r="I24" s="85">
        <v>2000</v>
      </c>
      <c r="J24" s="34">
        <f>I24/(100-F24)*100</f>
        <v>2171.5526601520091</v>
      </c>
      <c r="K24" s="32" t="s">
        <v>22</v>
      </c>
      <c r="L24" s="32" t="s">
        <v>23</v>
      </c>
      <c r="M24" s="32" t="s">
        <v>14</v>
      </c>
      <c r="N24" s="32" t="s">
        <v>14</v>
      </c>
      <c r="O24" s="32">
        <v>20</v>
      </c>
      <c r="P24" s="43" t="s">
        <v>167</v>
      </c>
      <c r="Q24" s="62">
        <f>0.34*I24</f>
        <v>680</v>
      </c>
      <c r="R24" s="34">
        <v>34</v>
      </c>
      <c r="S24" s="46">
        <v>24.7</v>
      </c>
      <c r="T24" s="34">
        <f>0.39*I24</f>
        <v>780</v>
      </c>
      <c r="U24" s="34" t="s">
        <v>14</v>
      </c>
      <c r="V24" s="32" t="s">
        <v>160</v>
      </c>
      <c r="W24" s="32">
        <f>0.21*I24</f>
        <v>420</v>
      </c>
      <c r="X24" s="32" t="s">
        <v>14</v>
      </c>
      <c r="Y24" s="41" t="s">
        <v>163</v>
      </c>
      <c r="Z24" s="62">
        <f>(I24*1000*9.1*0.8)/8000/3.6</f>
        <v>505.55555555555554</v>
      </c>
      <c r="AA24" s="32" t="s">
        <v>14</v>
      </c>
      <c r="AB24" s="34">
        <f>Z24*8</f>
        <v>4044.4444444444443</v>
      </c>
      <c r="AC24" s="32" t="s">
        <v>14</v>
      </c>
      <c r="AD24" s="34">
        <f>AB24/(I24*17.9/3.6)*100</f>
        <v>40.670391061452513</v>
      </c>
      <c r="AE24" s="41" t="s">
        <v>14</v>
      </c>
      <c r="AF24" s="61" t="s">
        <v>168</v>
      </c>
    </row>
    <row r="25" spans="2:32" hidden="1" outlineLevel="1" x14ac:dyDescent="0.25">
      <c r="B25" s="31" t="s">
        <v>397</v>
      </c>
      <c r="C25" s="32" t="s">
        <v>20</v>
      </c>
      <c r="D25" s="41" t="s">
        <v>93</v>
      </c>
      <c r="E25" s="136" t="s">
        <v>30</v>
      </c>
      <c r="F25" s="34">
        <v>10.8</v>
      </c>
      <c r="G25" s="41" t="s">
        <v>157</v>
      </c>
      <c r="H25" s="136" t="s">
        <v>21</v>
      </c>
      <c r="I25" s="85">
        <v>2000</v>
      </c>
      <c r="J25" s="34">
        <f t="shared" ref="J25:J35" si="6">I25/(100-F25)*100</f>
        <v>2242.1524663677128</v>
      </c>
      <c r="K25" s="32" t="s">
        <v>22</v>
      </c>
      <c r="L25" s="32" t="s">
        <v>23</v>
      </c>
      <c r="M25" s="32" t="s">
        <v>14</v>
      </c>
      <c r="N25" s="32" t="s">
        <v>14</v>
      </c>
      <c r="O25" s="32">
        <v>20</v>
      </c>
      <c r="P25" s="43" t="s">
        <v>167</v>
      </c>
      <c r="Q25" s="62">
        <f>0.3*I25</f>
        <v>600</v>
      </c>
      <c r="R25" s="34">
        <v>30</v>
      </c>
      <c r="S25" s="46">
        <v>29.8</v>
      </c>
      <c r="T25" s="34">
        <f>0.23*I25</f>
        <v>460</v>
      </c>
      <c r="U25" s="34" t="s">
        <v>14</v>
      </c>
      <c r="V25" s="32" t="s">
        <v>161</v>
      </c>
      <c r="W25" s="32">
        <f>0.46*I25</f>
        <v>920</v>
      </c>
      <c r="X25" s="32" t="s">
        <v>14</v>
      </c>
      <c r="Y25" s="41" t="s">
        <v>164</v>
      </c>
      <c r="Z25" s="62">
        <f>(I25*1000*10.2*0.8)/8000/3.6</f>
        <v>566.66666666666663</v>
      </c>
      <c r="AA25" s="32" t="s">
        <v>14</v>
      </c>
      <c r="AB25" s="34">
        <f t="shared" ref="AB25:AB35" si="7">Z25*8</f>
        <v>4533.333333333333</v>
      </c>
      <c r="AC25" s="32" t="s">
        <v>14</v>
      </c>
      <c r="AD25" s="34">
        <f>AB25/(I25*19.7/3.6)*100</f>
        <v>41.421319796954315</v>
      </c>
      <c r="AE25" s="41" t="s">
        <v>14</v>
      </c>
      <c r="AF25" s="61" t="s">
        <v>169</v>
      </c>
    </row>
    <row r="26" spans="2:32" hidden="1" outlineLevel="1" x14ac:dyDescent="0.25">
      <c r="B26" s="31" t="s">
        <v>397</v>
      </c>
      <c r="C26" s="32" t="s">
        <v>20</v>
      </c>
      <c r="D26" s="41" t="s">
        <v>93</v>
      </c>
      <c r="E26" s="136" t="s">
        <v>33</v>
      </c>
      <c r="F26" s="34">
        <v>79.5</v>
      </c>
      <c r="G26" s="41" t="s">
        <v>158</v>
      </c>
      <c r="H26" s="136" t="s">
        <v>21</v>
      </c>
      <c r="I26" s="85">
        <v>2000</v>
      </c>
      <c r="J26" s="34">
        <f t="shared" si="6"/>
        <v>9756.0975609756097</v>
      </c>
      <c r="K26" s="32" t="s">
        <v>22</v>
      </c>
      <c r="L26" s="32" t="s">
        <v>23</v>
      </c>
      <c r="M26" s="32" t="s">
        <v>14</v>
      </c>
      <c r="N26" s="32" t="s">
        <v>14</v>
      </c>
      <c r="O26" s="32">
        <v>20</v>
      </c>
      <c r="P26" s="43" t="s">
        <v>167</v>
      </c>
      <c r="Q26" s="62">
        <f>0.49*I26</f>
        <v>980</v>
      </c>
      <c r="R26" s="34">
        <v>49</v>
      </c>
      <c r="S26" s="46">
        <v>17.5</v>
      </c>
      <c r="T26" s="34">
        <f>0.1*I26</f>
        <v>200</v>
      </c>
      <c r="U26" s="34" t="s">
        <v>14</v>
      </c>
      <c r="V26" s="32" t="s">
        <v>162</v>
      </c>
      <c r="W26" s="32">
        <f>0.32*I26</f>
        <v>640</v>
      </c>
      <c r="X26" s="32" t="s">
        <v>14</v>
      </c>
      <c r="Y26" s="41" t="s">
        <v>165</v>
      </c>
      <c r="Z26" s="62">
        <f>(I26*1000*-1.2)/8000/3.6</f>
        <v>-83.333333333333329</v>
      </c>
      <c r="AA26" s="32" t="s">
        <v>14</v>
      </c>
      <c r="AB26" s="34">
        <f t="shared" si="7"/>
        <v>-666.66666666666663</v>
      </c>
      <c r="AC26" s="32" t="s">
        <v>14</v>
      </c>
      <c r="AD26" s="34">
        <f>AB26/(I26*17/3.6)*100</f>
        <v>-7.0588235294117645</v>
      </c>
      <c r="AE26" s="41" t="s">
        <v>14</v>
      </c>
      <c r="AF26" s="61" t="s">
        <v>379</v>
      </c>
    </row>
    <row r="27" spans="2:32" hidden="1" outlineLevel="1" x14ac:dyDescent="0.25">
      <c r="B27" s="31" t="s">
        <v>397</v>
      </c>
      <c r="C27" s="32" t="s">
        <v>20</v>
      </c>
      <c r="D27" s="41" t="s">
        <v>93</v>
      </c>
      <c r="E27" s="136" t="s">
        <v>149</v>
      </c>
      <c r="F27" s="34">
        <v>85.3</v>
      </c>
      <c r="G27" s="41" t="s">
        <v>159</v>
      </c>
      <c r="H27" s="136" t="s">
        <v>21</v>
      </c>
      <c r="I27" s="85">
        <v>2000</v>
      </c>
      <c r="J27" s="34">
        <f t="shared" si="6"/>
        <v>13605.442176870747</v>
      </c>
      <c r="K27" s="32" t="s">
        <v>22</v>
      </c>
      <c r="L27" s="32" t="s">
        <v>23</v>
      </c>
      <c r="M27" s="32" t="s">
        <v>14</v>
      </c>
      <c r="N27" s="32" t="s">
        <v>14</v>
      </c>
      <c r="O27" s="32">
        <v>20</v>
      </c>
      <c r="P27" s="43" t="s">
        <v>167</v>
      </c>
      <c r="Q27" s="62">
        <f>0.49*I27</f>
        <v>980</v>
      </c>
      <c r="R27" s="34">
        <v>49</v>
      </c>
      <c r="S27" s="46">
        <v>11.6</v>
      </c>
      <c r="T27" s="34">
        <f>0.1*I27</f>
        <v>200</v>
      </c>
      <c r="U27" s="34" t="s">
        <v>14</v>
      </c>
      <c r="V27" s="32" t="s">
        <v>162</v>
      </c>
      <c r="W27" s="32">
        <f>0.33*I27</f>
        <v>660</v>
      </c>
      <c r="X27" s="32" t="s">
        <v>14</v>
      </c>
      <c r="Y27" s="41" t="s">
        <v>166</v>
      </c>
      <c r="Z27" s="62">
        <f>(I27*1000*-3.3)/8000/3.6</f>
        <v>-229.16666666666666</v>
      </c>
      <c r="AA27" s="32" t="s">
        <v>14</v>
      </c>
      <c r="AB27" s="34">
        <f t="shared" si="7"/>
        <v>-1833.3333333333333</v>
      </c>
      <c r="AC27" s="32" t="s">
        <v>14</v>
      </c>
      <c r="AD27" s="34">
        <f>AB27/(I27*16.8/3.6)*100</f>
        <v>-19.642857142857139</v>
      </c>
      <c r="AE27" s="41" t="s">
        <v>14</v>
      </c>
      <c r="AF27" s="61" t="s">
        <v>380</v>
      </c>
    </row>
    <row r="28" spans="2:32" collapsed="1" x14ac:dyDescent="0.25">
      <c r="B28" s="31" t="s">
        <v>398</v>
      </c>
      <c r="C28" s="32" t="s">
        <v>20</v>
      </c>
      <c r="D28" s="41" t="s">
        <v>93</v>
      </c>
      <c r="E28" s="136" t="s">
        <v>29</v>
      </c>
      <c r="F28" s="34">
        <v>7.9</v>
      </c>
      <c r="G28" s="41" t="s">
        <v>156</v>
      </c>
      <c r="H28" s="136" t="s">
        <v>28</v>
      </c>
      <c r="I28" s="85">
        <v>16000</v>
      </c>
      <c r="J28" s="34">
        <f t="shared" si="6"/>
        <v>17372.421281216073</v>
      </c>
      <c r="K28" s="32" t="s">
        <v>22</v>
      </c>
      <c r="L28" s="32" t="s">
        <v>23</v>
      </c>
      <c r="M28" s="32" t="s">
        <v>14</v>
      </c>
      <c r="N28" s="32" t="s">
        <v>14</v>
      </c>
      <c r="O28" s="32">
        <v>20</v>
      </c>
      <c r="P28" s="43" t="s">
        <v>167</v>
      </c>
      <c r="Q28" s="62">
        <f>0.34*I28</f>
        <v>5440</v>
      </c>
      <c r="R28" s="34">
        <v>34</v>
      </c>
      <c r="S28" s="46">
        <v>24.7</v>
      </c>
      <c r="T28" s="34">
        <f>0.39*I28</f>
        <v>6240</v>
      </c>
      <c r="U28" s="34" t="s">
        <v>14</v>
      </c>
      <c r="V28" s="32" t="s">
        <v>160</v>
      </c>
      <c r="W28" s="32">
        <f>0.21*I28</f>
        <v>3360</v>
      </c>
      <c r="X28" s="32" t="s">
        <v>14</v>
      </c>
      <c r="Y28" s="41" t="s">
        <v>163</v>
      </c>
      <c r="Z28" s="62">
        <f>(I28*1000*9.1*0.8)/8000/3.6</f>
        <v>4044.4444444444443</v>
      </c>
      <c r="AA28" s="32" t="s">
        <v>14</v>
      </c>
      <c r="AB28" s="34">
        <f>Z28*8</f>
        <v>32355.555555555555</v>
      </c>
      <c r="AC28" s="32" t="s">
        <v>14</v>
      </c>
      <c r="AD28" s="34">
        <f>AB28/(I28*17.9/3.6)*100</f>
        <v>40.670391061452513</v>
      </c>
      <c r="AE28" s="41" t="s">
        <v>14</v>
      </c>
      <c r="AF28" s="61" t="s">
        <v>168</v>
      </c>
    </row>
    <row r="29" spans="2:32" hidden="1" outlineLevel="1" x14ac:dyDescent="0.25">
      <c r="B29" s="31" t="s">
        <v>398</v>
      </c>
      <c r="C29" s="32" t="s">
        <v>20</v>
      </c>
      <c r="D29" s="41" t="s">
        <v>93</v>
      </c>
      <c r="E29" s="136" t="s">
        <v>30</v>
      </c>
      <c r="F29" s="34">
        <v>10.8</v>
      </c>
      <c r="G29" s="41" t="s">
        <v>157</v>
      </c>
      <c r="H29" s="136" t="s">
        <v>24</v>
      </c>
      <c r="I29" s="85">
        <v>16000</v>
      </c>
      <c r="J29" s="34">
        <f t="shared" si="6"/>
        <v>17937.219730941702</v>
      </c>
      <c r="K29" s="32" t="s">
        <v>22</v>
      </c>
      <c r="L29" s="32" t="s">
        <v>23</v>
      </c>
      <c r="M29" s="32" t="s">
        <v>14</v>
      </c>
      <c r="N29" s="32" t="s">
        <v>14</v>
      </c>
      <c r="O29" s="32">
        <v>20</v>
      </c>
      <c r="P29" s="43" t="s">
        <v>167</v>
      </c>
      <c r="Q29" s="62">
        <f>0.3*I29</f>
        <v>4800</v>
      </c>
      <c r="R29" s="34">
        <v>30</v>
      </c>
      <c r="S29" s="46">
        <v>29.8</v>
      </c>
      <c r="T29" s="34">
        <f>0.23*I29</f>
        <v>3680</v>
      </c>
      <c r="U29" s="34" t="s">
        <v>14</v>
      </c>
      <c r="V29" s="32" t="s">
        <v>161</v>
      </c>
      <c r="W29" s="32">
        <f>0.46*I29</f>
        <v>7360</v>
      </c>
      <c r="X29" s="32" t="s">
        <v>14</v>
      </c>
      <c r="Y29" s="41" t="s">
        <v>164</v>
      </c>
      <c r="Z29" s="62">
        <f>(I29*1000*10.2*0.8)/8000/3.6</f>
        <v>4533.333333333333</v>
      </c>
      <c r="AA29" s="32" t="s">
        <v>14</v>
      </c>
      <c r="AB29" s="34">
        <f t="shared" si="7"/>
        <v>36266.666666666664</v>
      </c>
      <c r="AC29" s="32" t="s">
        <v>14</v>
      </c>
      <c r="AD29" s="34">
        <f>AB29/(I29*19.7/3.6)*100</f>
        <v>41.421319796954315</v>
      </c>
      <c r="AE29" s="41" t="s">
        <v>14</v>
      </c>
      <c r="AF29" s="61" t="s">
        <v>169</v>
      </c>
    </row>
    <row r="30" spans="2:32" hidden="1" outlineLevel="1" x14ac:dyDescent="0.25">
      <c r="B30" s="31" t="s">
        <v>398</v>
      </c>
      <c r="C30" s="32" t="s">
        <v>20</v>
      </c>
      <c r="D30" s="41" t="s">
        <v>93</v>
      </c>
      <c r="E30" s="136" t="s">
        <v>33</v>
      </c>
      <c r="F30" s="34">
        <v>79.5</v>
      </c>
      <c r="G30" s="41" t="s">
        <v>158</v>
      </c>
      <c r="H30" s="136" t="s">
        <v>28</v>
      </c>
      <c r="I30" s="85">
        <v>16000</v>
      </c>
      <c r="J30" s="34">
        <f t="shared" si="6"/>
        <v>78048.780487804877</v>
      </c>
      <c r="K30" s="32" t="s">
        <v>22</v>
      </c>
      <c r="L30" s="32" t="s">
        <v>23</v>
      </c>
      <c r="M30" s="32" t="s">
        <v>14</v>
      </c>
      <c r="N30" s="32" t="s">
        <v>14</v>
      </c>
      <c r="O30" s="32">
        <v>20</v>
      </c>
      <c r="P30" s="43" t="s">
        <v>167</v>
      </c>
      <c r="Q30" s="62">
        <f>0.49*I30</f>
        <v>7840</v>
      </c>
      <c r="R30" s="34">
        <v>49</v>
      </c>
      <c r="S30" s="46">
        <v>17.5</v>
      </c>
      <c r="T30" s="34">
        <f>0.1*I30</f>
        <v>1600</v>
      </c>
      <c r="U30" s="34" t="s">
        <v>14</v>
      </c>
      <c r="V30" s="32" t="s">
        <v>162</v>
      </c>
      <c r="W30" s="32">
        <f>0.32*I30</f>
        <v>5120</v>
      </c>
      <c r="X30" s="32" t="s">
        <v>14</v>
      </c>
      <c r="Y30" s="41" t="s">
        <v>165</v>
      </c>
      <c r="Z30" s="62">
        <f>(I30*1000*-1.2)/8000/3.6</f>
        <v>-666.66666666666663</v>
      </c>
      <c r="AA30" s="32" t="s">
        <v>14</v>
      </c>
      <c r="AB30" s="34">
        <f t="shared" si="7"/>
        <v>-5333.333333333333</v>
      </c>
      <c r="AC30" s="32" t="s">
        <v>14</v>
      </c>
      <c r="AD30" s="34">
        <f>AB30/(I30*17/3.6)*100</f>
        <v>-7.0588235294117645</v>
      </c>
      <c r="AE30" s="41" t="s">
        <v>14</v>
      </c>
      <c r="AF30" s="61" t="s">
        <v>379</v>
      </c>
    </row>
    <row r="31" spans="2:32" hidden="1" outlineLevel="1" x14ac:dyDescent="0.25">
      <c r="B31" s="31" t="s">
        <v>398</v>
      </c>
      <c r="C31" s="32" t="s">
        <v>20</v>
      </c>
      <c r="D31" s="41" t="s">
        <v>93</v>
      </c>
      <c r="E31" s="136" t="s">
        <v>149</v>
      </c>
      <c r="F31" s="34">
        <v>85.3</v>
      </c>
      <c r="G31" s="41" t="s">
        <v>159</v>
      </c>
      <c r="H31" s="136" t="s">
        <v>28</v>
      </c>
      <c r="I31" s="85">
        <v>16000</v>
      </c>
      <c r="J31" s="34">
        <f t="shared" si="6"/>
        <v>108843.53741496598</v>
      </c>
      <c r="K31" s="32" t="s">
        <v>22</v>
      </c>
      <c r="L31" s="32" t="s">
        <v>23</v>
      </c>
      <c r="M31" s="32" t="s">
        <v>14</v>
      </c>
      <c r="N31" s="32" t="s">
        <v>14</v>
      </c>
      <c r="O31" s="32">
        <v>20</v>
      </c>
      <c r="P31" s="43" t="s">
        <v>167</v>
      </c>
      <c r="Q31" s="62">
        <f>0.49*I31</f>
        <v>7840</v>
      </c>
      <c r="R31" s="34">
        <v>49</v>
      </c>
      <c r="S31" s="46">
        <v>11.6</v>
      </c>
      <c r="T31" s="34">
        <f>0.1*I31</f>
        <v>1600</v>
      </c>
      <c r="U31" s="34" t="s">
        <v>14</v>
      </c>
      <c r="V31" s="32" t="s">
        <v>162</v>
      </c>
      <c r="W31" s="32">
        <f>0.33*I31</f>
        <v>5280</v>
      </c>
      <c r="X31" s="32" t="s">
        <v>14</v>
      </c>
      <c r="Y31" s="41" t="s">
        <v>166</v>
      </c>
      <c r="Z31" s="62">
        <f>(I31*1000*-3.3)/8000/3.6</f>
        <v>-1833.3333333333333</v>
      </c>
      <c r="AA31" s="32" t="s">
        <v>14</v>
      </c>
      <c r="AB31" s="34">
        <f t="shared" si="7"/>
        <v>-14666.666666666666</v>
      </c>
      <c r="AC31" s="32" t="s">
        <v>14</v>
      </c>
      <c r="AD31" s="34">
        <f>AB31/(I31*16.8/3.6)*100</f>
        <v>-19.642857142857139</v>
      </c>
      <c r="AE31" s="41" t="s">
        <v>14</v>
      </c>
      <c r="AF31" s="61" t="s">
        <v>380</v>
      </c>
    </row>
    <row r="32" spans="2:32" collapsed="1" x14ac:dyDescent="0.25">
      <c r="B32" s="31" t="s">
        <v>399</v>
      </c>
      <c r="C32" s="32" t="s">
        <v>20</v>
      </c>
      <c r="D32" s="41" t="s">
        <v>93</v>
      </c>
      <c r="E32" s="136" t="s">
        <v>29</v>
      </c>
      <c r="F32" s="34">
        <v>7.9</v>
      </c>
      <c r="G32" s="41" t="s">
        <v>156</v>
      </c>
      <c r="H32" s="136" t="s">
        <v>28</v>
      </c>
      <c r="I32" s="85">
        <v>184800</v>
      </c>
      <c r="J32" s="34">
        <f t="shared" si="6"/>
        <v>200651.46579804562</v>
      </c>
      <c r="K32" s="32" t="s">
        <v>22</v>
      </c>
      <c r="L32" s="32" t="s">
        <v>23</v>
      </c>
      <c r="M32" s="32" t="s">
        <v>14</v>
      </c>
      <c r="N32" s="32" t="s">
        <v>14</v>
      </c>
      <c r="O32" s="32">
        <v>20</v>
      </c>
      <c r="P32" s="43" t="s">
        <v>167</v>
      </c>
      <c r="Q32" s="62">
        <f>0.34*I32</f>
        <v>62832.000000000007</v>
      </c>
      <c r="R32" s="34">
        <v>34</v>
      </c>
      <c r="S32" s="46">
        <v>24.7</v>
      </c>
      <c r="T32" s="34">
        <f>0.39*I32</f>
        <v>72072</v>
      </c>
      <c r="U32" s="34" t="s">
        <v>14</v>
      </c>
      <c r="V32" s="32" t="s">
        <v>160</v>
      </c>
      <c r="W32" s="32">
        <f>0.21*I32</f>
        <v>38808</v>
      </c>
      <c r="X32" s="32" t="s">
        <v>14</v>
      </c>
      <c r="Y32" s="41" t="s">
        <v>163</v>
      </c>
      <c r="Z32" s="62">
        <f>(I32*1000*9.1*0.8)/8000/3.6</f>
        <v>46713.333333333336</v>
      </c>
      <c r="AA32" s="32" t="s">
        <v>14</v>
      </c>
      <c r="AB32" s="34">
        <f>Z32*8</f>
        <v>373706.66666666669</v>
      </c>
      <c r="AC32" s="32" t="s">
        <v>14</v>
      </c>
      <c r="AD32" s="34">
        <f>AB32/(I32*17.9/3.6)*100</f>
        <v>40.67039106145252</v>
      </c>
      <c r="AE32" s="41" t="s">
        <v>14</v>
      </c>
      <c r="AF32" s="61" t="s">
        <v>168</v>
      </c>
    </row>
    <row r="33" spans="2:32" hidden="1" outlineLevel="1" x14ac:dyDescent="0.25">
      <c r="B33" s="31" t="s">
        <v>399</v>
      </c>
      <c r="C33" s="32" t="s">
        <v>20</v>
      </c>
      <c r="D33" s="41" t="s">
        <v>93</v>
      </c>
      <c r="E33" s="136" t="s">
        <v>30</v>
      </c>
      <c r="F33" s="34">
        <v>10.8</v>
      </c>
      <c r="G33" s="41" t="s">
        <v>157</v>
      </c>
      <c r="H33" s="136" t="s">
        <v>28</v>
      </c>
      <c r="I33" s="85">
        <v>184800</v>
      </c>
      <c r="J33" s="34">
        <f t="shared" si="6"/>
        <v>207174.88789237669</v>
      </c>
      <c r="K33" s="32" t="s">
        <v>22</v>
      </c>
      <c r="L33" s="32" t="s">
        <v>23</v>
      </c>
      <c r="M33" s="32" t="s">
        <v>14</v>
      </c>
      <c r="N33" s="32" t="s">
        <v>14</v>
      </c>
      <c r="O33" s="32">
        <v>20</v>
      </c>
      <c r="P33" s="43" t="s">
        <v>167</v>
      </c>
      <c r="Q33" s="62">
        <f>0.3*I33</f>
        <v>55440</v>
      </c>
      <c r="R33" s="34">
        <v>30</v>
      </c>
      <c r="S33" s="46">
        <v>29.8</v>
      </c>
      <c r="T33" s="34">
        <f>0.23*I33</f>
        <v>42504</v>
      </c>
      <c r="U33" s="34" t="s">
        <v>14</v>
      </c>
      <c r="V33" s="32" t="s">
        <v>161</v>
      </c>
      <c r="W33" s="32">
        <f>0.46*I33</f>
        <v>85008</v>
      </c>
      <c r="X33" s="32" t="s">
        <v>14</v>
      </c>
      <c r="Y33" s="41" t="s">
        <v>164</v>
      </c>
      <c r="Z33" s="62">
        <f>(I33*1000*10.2*0.8)/8000/3.6</f>
        <v>52360</v>
      </c>
      <c r="AA33" s="32" t="s">
        <v>14</v>
      </c>
      <c r="AB33" s="34">
        <f t="shared" si="7"/>
        <v>418880</v>
      </c>
      <c r="AC33" s="32" t="s">
        <v>14</v>
      </c>
      <c r="AD33" s="34">
        <f>AB33/(I33*19.7/3.6)*100</f>
        <v>41.421319796954315</v>
      </c>
      <c r="AE33" s="41" t="s">
        <v>14</v>
      </c>
      <c r="AF33" s="61" t="s">
        <v>169</v>
      </c>
    </row>
    <row r="34" spans="2:32" hidden="1" outlineLevel="1" x14ac:dyDescent="0.25">
      <c r="B34" s="31" t="s">
        <v>399</v>
      </c>
      <c r="C34" s="32" t="s">
        <v>20</v>
      </c>
      <c r="D34" s="41" t="s">
        <v>93</v>
      </c>
      <c r="E34" s="136" t="s">
        <v>33</v>
      </c>
      <c r="F34" s="34">
        <v>79.5</v>
      </c>
      <c r="G34" s="41" t="s">
        <v>158</v>
      </c>
      <c r="H34" s="136" t="s">
        <v>28</v>
      </c>
      <c r="I34" s="85">
        <v>184800</v>
      </c>
      <c r="J34" s="34">
        <f t="shared" si="6"/>
        <v>901463.41463414626</v>
      </c>
      <c r="K34" s="32" t="s">
        <v>22</v>
      </c>
      <c r="L34" s="32" t="s">
        <v>23</v>
      </c>
      <c r="M34" s="32" t="s">
        <v>14</v>
      </c>
      <c r="N34" s="32" t="s">
        <v>14</v>
      </c>
      <c r="O34" s="32">
        <v>20</v>
      </c>
      <c r="P34" s="43" t="s">
        <v>167</v>
      </c>
      <c r="Q34" s="62">
        <f>0.49*I34</f>
        <v>90552</v>
      </c>
      <c r="R34" s="34">
        <v>49</v>
      </c>
      <c r="S34" s="46">
        <v>17.5</v>
      </c>
      <c r="T34" s="34">
        <f>0.1*I34</f>
        <v>18480</v>
      </c>
      <c r="U34" s="34" t="s">
        <v>14</v>
      </c>
      <c r="V34" s="32" t="s">
        <v>162</v>
      </c>
      <c r="W34" s="32">
        <f>0.32*I34</f>
        <v>59136</v>
      </c>
      <c r="X34" s="32" t="s">
        <v>14</v>
      </c>
      <c r="Y34" s="41" t="s">
        <v>165</v>
      </c>
      <c r="Z34" s="62">
        <f>(I34*1000*-1.2)/8000/3.6</f>
        <v>-7700</v>
      </c>
      <c r="AA34" s="32" t="s">
        <v>14</v>
      </c>
      <c r="AB34" s="34">
        <f t="shared" si="7"/>
        <v>-61600</v>
      </c>
      <c r="AC34" s="32" t="s">
        <v>14</v>
      </c>
      <c r="AD34" s="34">
        <f>AB34/(I34*17/3.6)*100</f>
        <v>-7.0588235294117645</v>
      </c>
      <c r="AE34" s="41" t="s">
        <v>14</v>
      </c>
      <c r="AF34" s="61" t="s">
        <v>379</v>
      </c>
    </row>
    <row r="35" spans="2:32" hidden="1" outlineLevel="1" x14ac:dyDescent="0.25">
      <c r="B35" s="31" t="s">
        <v>399</v>
      </c>
      <c r="C35" s="32" t="s">
        <v>20</v>
      </c>
      <c r="D35" s="41" t="s">
        <v>93</v>
      </c>
      <c r="E35" s="136" t="s">
        <v>149</v>
      </c>
      <c r="F35" s="34">
        <v>85.3</v>
      </c>
      <c r="G35" s="41" t="s">
        <v>159</v>
      </c>
      <c r="H35" s="136" t="s">
        <v>28</v>
      </c>
      <c r="I35" s="85">
        <v>184800</v>
      </c>
      <c r="J35" s="34">
        <f t="shared" si="6"/>
        <v>1257142.8571428568</v>
      </c>
      <c r="K35" s="32" t="s">
        <v>22</v>
      </c>
      <c r="L35" s="32" t="s">
        <v>23</v>
      </c>
      <c r="M35" s="32" t="s">
        <v>14</v>
      </c>
      <c r="N35" s="32" t="s">
        <v>14</v>
      </c>
      <c r="O35" s="32">
        <v>20</v>
      </c>
      <c r="P35" s="43" t="s">
        <v>167</v>
      </c>
      <c r="Q35" s="62">
        <f>0.49*I35</f>
        <v>90552</v>
      </c>
      <c r="R35" s="34">
        <v>49</v>
      </c>
      <c r="S35" s="46">
        <v>11.6</v>
      </c>
      <c r="T35" s="34">
        <f>0.1*I35</f>
        <v>18480</v>
      </c>
      <c r="U35" s="34" t="s">
        <v>14</v>
      </c>
      <c r="V35" s="32" t="s">
        <v>162</v>
      </c>
      <c r="W35" s="32">
        <f>0.33*I35</f>
        <v>60984</v>
      </c>
      <c r="X35" s="32" t="s">
        <v>14</v>
      </c>
      <c r="Y35" s="41" t="s">
        <v>166</v>
      </c>
      <c r="Z35" s="62">
        <f>(I35*1000*-3.3)/8000/3.6</f>
        <v>-21175</v>
      </c>
      <c r="AA35" s="32" t="s">
        <v>14</v>
      </c>
      <c r="AB35" s="34">
        <f t="shared" si="7"/>
        <v>-169400</v>
      </c>
      <c r="AC35" s="32" t="s">
        <v>14</v>
      </c>
      <c r="AD35" s="34">
        <f>AB35/(I35*16.8/3.6)*100</f>
        <v>-19.642857142857142</v>
      </c>
      <c r="AE35" s="41" t="s">
        <v>14</v>
      </c>
      <c r="AF35" s="61" t="s">
        <v>380</v>
      </c>
    </row>
    <row r="36" spans="2:32" collapsed="1" x14ac:dyDescent="0.25">
      <c r="B36" s="31" t="s">
        <v>82</v>
      </c>
      <c r="C36" s="32" t="s">
        <v>20</v>
      </c>
      <c r="D36" s="41">
        <v>2016</v>
      </c>
      <c r="E36" s="136" t="s">
        <v>139</v>
      </c>
      <c r="F36" s="32">
        <v>6</v>
      </c>
      <c r="G36" s="41">
        <v>14.4</v>
      </c>
      <c r="H36" s="136" t="s">
        <v>27</v>
      </c>
      <c r="I36" s="85">
        <v>1200</v>
      </c>
      <c r="J36" s="34" t="s">
        <v>14</v>
      </c>
      <c r="K36" s="32" t="s">
        <v>23</v>
      </c>
      <c r="L36" s="32" t="s">
        <v>23</v>
      </c>
      <c r="M36" s="32" t="s">
        <v>70</v>
      </c>
      <c r="N36" s="32" t="s">
        <v>69</v>
      </c>
      <c r="O36" s="32">
        <v>15</v>
      </c>
      <c r="P36" s="43" t="s">
        <v>14</v>
      </c>
      <c r="Q36" s="62">
        <v>332</v>
      </c>
      <c r="R36" s="34">
        <f>Q36/I36*100</f>
        <v>27.666666666666668</v>
      </c>
      <c r="S36" s="33" t="s">
        <v>14</v>
      </c>
      <c r="T36" s="34" t="s">
        <v>14</v>
      </c>
      <c r="U36" s="34" t="s">
        <v>14</v>
      </c>
      <c r="V36" s="32" t="s">
        <v>14</v>
      </c>
      <c r="W36" s="32" t="s">
        <v>14</v>
      </c>
      <c r="X36" s="32" t="s">
        <v>14</v>
      </c>
      <c r="Y36" s="41" t="s">
        <v>14</v>
      </c>
      <c r="Z36" s="62">
        <v>150</v>
      </c>
      <c r="AA36" s="32" t="s">
        <v>14</v>
      </c>
      <c r="AB36" s="34" t="s">
        <v>14</v>
      </c>
      <c r="AC36" s="32" t="s">
        <v>14</v>
      </c>
      <c r="AD36" s="34" t="s">
        <v>14</v>
      </c>
      <c r="AE36" s="41" t="s">
        <v>14</v>
      </c>
      <c r="AF36" s="61" t="s">
        <v>98</v>
      </c>
    </row>
    <row r="37" spans="2:32" x14ac:dyDescent="0.25">
      <c r="B37" s="31" t="s">
        <v>295</v>
      </c>
      <c r="C37" s="32" t="s">
        <v>20</v>
      </c>
      <c r="D37" s="41">
        <v>2021</v>
      </c>
      <c r="E37" s="136" t="s">
        <v>174</v>
      </c>
      <c r="F37" s="32" t="s">
        <v>175</v>
      </c>
      <c r="G37" s="41" t="s">
        <v>14</v>
      </c>
      <c r="H37" s="136" t="s">
        <v>21</v>
      </c>
      <c r="I37" s="85">
        <v>2400</v>
      </c>
      <c r="J37" s="34" t="s">
        <v>14</v>
      </c>
      <c r="K37" s="32" t="s">
        <v>22</v>
      </c>
      <c r="L37" s="32" t="s">
        <v>23</v>
      </c>
      <c r="M37" s="32" t="s">
        <v>71</v>
      </c>
      <c r="N37" s="32" t="s">
        <v>69</v>
      </c>
      <c r="O37" s="32" t="s">
        <v>14</v>
      </c>
      <c r="P37" s="43" t="s">
        <v>14</v>
      </c>
      <c r="Q37" s="62">
        <v>597.33333333333337</v>
      </c>
      <c r="R37" s="34">
        <f>Q37/I37*100</f>
        <v>24.888888888888889</v>
      </c>
      <c r="S37" s="33" t="s">
        <v>14</v>
      </c>
      <c r="T37" s="34" t="s">
        <v>14</v>
      </c>
      <c r="U37" s="34" t="s">
        <v>14</v>
      </c>
      <c r="V37" s="32" t="s">
        <v>14</v>
      </c>
      <c r="W37" s="32" t="s">
        <v>14</v>
      </c>
      <c r="X37" s="32" t="s">
        <v>14</v>
      </c>
      <c r="Y37" s="41" t="s">
        <v>14</v>
      </c>
      <c r="Z37" s="62">
        <v>600</v>
      </c>
      <c r="AA37" s="32" t="s">
        <v>14</v>
      </c>
      <c r="AB37" s="34">
        <f>4500*8000/7500</f>
        <v>4800</v>
      </c>
      <c r="AC37" s="32" t="s">
        <v>14</v>
      </c>
      <c r="AD37" s="34" t="s">
        <v>14</v>
      </c>
      <c r="AE37" s="41" t="s">
        <v>14</v>
      </c>
      <c r="AF37" s="61" t="s">
        <v>99</v>
      </c>
    </row>
    <row r="38" spans="2:32" x14ac:dyDescent="0.25">
      <c r="B38" s="31" t="s">
        <v>400</v>
      </c>
      <c r="C38" s="32" t="s">
        <v>20</v>
      </c>
      <c r="D38" s="41" t="s">
        <v>131</v>
      </c>
      <c r="E38" s="136" t="s">
        <v>132</v>
      </c>
      <c r="F38" s="32" t="s">
        <v>119</v>
      </c>
      <c r="G38" s="41" t="s">
        <v>14</v>
      </c>
      <c r="H38" s="136" t="s">
        <v>21</v>
      </c>
      <c r="I38" s="85">
        <v>2000</v>
      </c>
      <c r="J38" s="34" t="s">
        <v>14</v>
      </c>
      <c r="K38" s="32" t="s">
        <v>23</v>
      </c>
      <c r="L38" s="32" t="s">
        <v>22</v>
      </c>
      <c r="M38" s="32" t="s">
        <v>186</v>
      </c>
      <c r="N38" s="32" t="s">
        <v>14</v>
      </c>
      <c r="O38" s="32">
        <v>20</v>
      </c>
      <c r="P38" s="43"/>
      <c r="Q38" s="62">
        <v>727</v>
      </c>
      <c r="R38" s="34">
        <v>36</v>
      </c>
      <c r="S38" s="33" t="s">
        <v>14</v>
      </c>
      <c r="T38" s="34">
        <v>638</v>
      </c>
      <c r="U38" s="34">
        <v>11</v>
      </c>
      <c r="V38" s="34">
        <v>31.9</v>
      </c>
      <c r="W38" s="32" t="s">
        <v>14</v>
      </c>
      <c r="X38" s="32" t="s">
        <v>14</v>
      </c>
      <c r="Y38" s="41" t="s">
        <v>14</v>
      </c>
      <c r="Z38" s="62" t="s">
        <v>14</v>
      </c>
      <c r="AA38" s="32" t="s">
        <v>100</v>
      </c>
      <c r="AB38" s="34" t="s">
        <v>14</v>
      </c>
      <c r="AC38" s="32" t="s">
        <v>14</v>
      </c>
      <c r="AD38" s="34" t="s">
        <v>14</v>
      </c>
      <c r="AE38" s="41" t="s">
        <v>14</v>
      </c>
      <c r="AF38" s="61" t="s">
        <v>375</v>
      </c>
    </row>
    <row r="39" spans="2:32" x14ac:dyDescent="0.25">
      <c r="B39" s="31" t="s">
        <v>401</v>
      </c>
      <c r="C39" s="32" t="s">
        <v>20</v>
      </c>
      <c r="D39" s="41" t="s">
        <v>131</v>
      </c>
      <c r="E39" s="136" t="s">
        <v>132</v>
      </c>
      <c r="F39" s="32" t="s">
        <v>119</v>
      </c>
      <c r="G39" s="41" t="s">
        <v>14</v>
      </c>
      <c r="H39" s="136" t="s">
        <v>28</v>
      </c>
      <c r="I39" s="85">
        <v>16000</v>
      </c>
      <c r="J39" s="34" t="s">
        <v>14</v>
      </c>
      <c r="K39" s="32" t="s">
        <v>23</v>
      </c>
      <c r="L39" s="32" t="s">
        <v>22</v>
      </c>
      <c r="M39" s="32" t="s">
        <v>186</v>
      </c>
      <c r="N39" s="32" t="s">
        <v>14</v>
      </c>
      <c r="O39" s="32">
        <v>20</v>
      </c>
      <c r="P39" s="43"/>
      <c r="Q39" s="62">
        <v>5396</v>
      </c>
      <c r="R39" s="34">
        <v>36</v>
      </c>
      <c r="S39" s="33" t="s">
        <v>14</v>
      </c>
      <c r="T39" s="34">
        <v>5104</v>
      </c>
      <c r="U39" s="34">
        <v>11</v>
      </c>
      <c r="V39" s="34">
        <v>31.9</v>
      </c>
      <c r="W39" s="32" t="s">
        <v>14</v>
      </c>
      <c r="X39" s="32" t="s">
        <v>14</v>
      </c>
      <c r="Y39" s="41" t="s">
        <v>14</v>
      </c>
      <c r="Z39" s="62" t="s">
        <v>14</v>
      </c>
      <c r="AA39" s="32" t="s">
        <v>100</v>
      </c>
      <c r="AB39" s="34" t="s">
        <v>14</v>
      </c>
      <c r="AC39" s="32" t="s">
        <v>14</v>
      </c>
      <c r="AD39" s="34" t="s">
        <v>14</v>
      </c>
      <c r="AE39" s="41" t="s">
        <v>14</v>
      </c>
      <c r="AF39" s="61" t="s">
        <v>375</v>
      </c>
    </row>
    <row r="40" spans="2:32" x14ac:dyDescent="0.25">
      <c r="B40" s="31" t="s">
        <v>405</v>
      </c>
      <c r="C40" s="32" t="s">
        <v>20</v>
      </c>
      <c r="D40" s="41" t="s">
        <v>131</v>
      </c>
      <c r="E40" s="136" t="s">
        <v>132</v>
      </c>
      <c r="F40" s="32" t="s">
        <v>119</v>
      </c>
      <c r="G40" s="41" t="s">
        <v>14</v>
      </c>
      <c r="H40" s="136" t="s">
        <v>28</v>
      </c>
      <c r="I40" s="85">
        <v>184400</v>
      </c>
      <c r="J40" s="34" t="s">
        <v>14</v>
      </c>
      <c r="K40" s="32" t="s">
        <v>23</v>
      </c>
      <c r="L40" s="32" t="s">
        <v>22</v>
      </c>
      <c r="M40" s="32" t="s">
        <v>186</v>
      </c>
      <c r="N40" s="32" t="s">
        <v>14</v>
      </c>
      <c r="O40" s="32">
        <v>20</v>
      </c>
      <c r="P40" s="43"/>
      <c r="Q40" s="62">
        <v>38202</v>
      </c>
      <c r="R40" s="34">
        <v>36</v>
      </c>
      <c r="S40" s="33" t="s">
        <v>14</v>
      </c>
      <c r="T40" s="34" t="s">
        <v>170</v>
      </c>
      <c r="U40" s="34">
        <v>11</v>
      </c>
      <c r="V40" s="32">
        <v>31.9</v>
      </c>
      <c r="W40" s="32" t="s">
        <v>14</v>
      </c>
      <c r="X40" s="32" t="s">
        <v>14</v>
      </c>
      <c r="Y40" s="41" t="s">
        <v>14</v>
      </c>
      <c r="Z40" s="62" t="s">
        <v>14</v>
      </c>
      <c r="AA40" s="32" t="s">
        <v>100</v>
      </c>
      <c r="AB40" s="34" t="s">
        <v>14</v>
      </c>
      <c r="AC40" s="32" t="s">
        <v>14</v>
      </c>
      <c r="AD40" s="34" t="s">
        <v>14</v>
      </c>
      <c r="AE40" s="41" t="s">
        <v>14</v>
      </c>
      <c r="AF40" s="61" t="s">
        <v>374</v>
      </c>
    </row>
    <row r="41" spans="2:32" x14ac:dyDescent="0.25">
      <c r="B41" s="31" t="s">
        <v>63</v>
      </c>
      <c r="C41" s="32" t="s">
        <v>20</v>
      </c>
      <c r="D41" s="41">
        <v>2023</v>
      </c>
      <c r="E41" s="136" t="s">
        <v>64</v>
      </c>
      <c r="F41" s="32">
        <v>9</v>
      </c>
      <c r="G41" s="41" t="s">
        <v>176</v>
      </c>
      <c r="H41" s="136" t="s">
        <v>25</v>
      </c>
      <c r="I41" s="34">
        <f>J41*0.91</f>
        <v>229.32000000000002</v>
      </c>
      <c r="J41" s="46">
        <v>252</v>
      </c>
      <c r="K41" s="32" t="s">
        <v>22</v>
      </c>
      <c r="L41" s="32" t="s">
        <v>23</v>
      </c>
      <c r="M41" s="32" t="s">
        <v>65</v>
      </c>
      <c r="N41" s="32" t="s">
        <v>14</v>
      </c>
      <c r="O41" s="32">
        <v>20</v>
      </c>
      <c r="P41" s="47">
        <v>800</v>
      </c>
      <c r="Q41" s="63">
        <v>46.67</v>
      </c>
      <c r="R41" s="34">
        <f>Q41/I41*100</f>
        <v>20.351473922902493</v>
      </c>
      <c r="S41" s="46">
        <v>5.3</v>
      </c>
      <c r="T41" s="34" t="s">
        <v>14</v>
      </c>
      <c r="U41" s="34" t="s">
        <v>14</v>
      </c>
      <c r="V41" s="31" t="s">
        <v>14</v>
      </c>
      <c r="W41" s="31" t="s">
        <v>14</v>
      </c>
      <c r="X41" s="31" t="s">
        <v>14</v>
      </c>
      <c r="Y41" s="30" t="s">
        <v>14</v>
      </c>
      <c r="Z41" s="62">
        <v>55</v>
      </c>
      <c r="AA41" s="32" t="s">
        <v>14</v>
      </c>
      <c r="AB41" s="32">
        <v>440</v>
      </c>
      <c r="AC41" s="32" t="s">
        <v>14</v>
      </c>
      <c r="AD41" s="32">
        <v>35</v>
      </c>
      <c r="AE41" s="41" t="s">
        <v>14</v>
      </c>
      <c r="AF41" s="61" t="s">
        <v>339</v>
      </c>
    </row>
    <row r="42" spans="2:32" x14ac:dyDescent="0.25">
      <c r="B42" s="31" t="s">
        <v>105</v>
      </c>
      <c r="C42" s="32" t="s">
        <v>20</v>
      </c>
      <c r="D42" s="41">
        <v>2020</v>
      </c>
      <c r="E42" s="136" t="s">
        <v>106</v>
      </c>
      <c r="F42" s="32" t="s">
        <v>14</v>
      </c>
      <c r="G42" s="41" t="s">
        <v>14</v>
      </c>
      <c r="H42" s="136" t="s">
        <v>28</v>
      </c>
      <c r="I42" s="85">
        <v>24000</v>
      </c>
      <c r="J42" s="33" t="s">
        <v>14</v>
      </c>
      <c r="K42" s="32" t="s">
        <v>23</v>
      </c>
      <c r="L42" s="32" t="s">
        <v>22</v>
      </c>
      <c r="M42" s="32" t="s">
        <v>107</v>
      </c>
      <c r="N42" s="32" t="s">
        <v>14</v>
      </c>
      <c r="O42" s="32">
        <v>20</v>
      </c>
      <c r="P42" s="47">
        <v>450</v>
      </c>
      <c r="Q42" s="64" t="s">
        <v>177</v>
      </c>
      <c r="R42" s="44" t="s">
        <v>178</v>
      </c>
      <c r="S42" s="33" t="s">
        <v>14</v>
      </c>
      <c r="T42" s="34" t="s">
        <v>179</v>
      </c>
      <c r="U42" s="34">
        <v>18</v>
      </c>
      <c r="V42" s="31" t="s">
        <v>180</v>
      </c>
      <c r="W42" s="31" t="s">
        <v>14</v>
      </c>
      <c r="X42" s="31" t="s">
        <v>14</v>
      </c>
      <c r="Y42" s="30" t="s">
        <v>14</v>
      </c>
      <c r="Z42" s="136" t="s">
        <v>14</v>
      </c>
      <c r="AA42" s="32" t="s">
        <v>393</v>
      </c>
      <c r="AB42" s="32" t="s">
        <v>14</v>
      </c>
      <c r="AC42" s="32" t="s">
        <v>181</v>
      </c>
      <c r="AD42" s="32" t="s">
        <v>14</v>
      </c>
      <c r="AE42" s="41" t="s">
        <v>384</v>
      </c>
      <c r="AF42" s="61" t="s">
        <v>392</v>
      </c>
    </row>
    <row r="43" spans="2:32" x14ac:dyDescent="0.25">
      <c r="B43" s="31" t="s">
        <v>402</v>
      </c>
      <c r="C43" s="32" t="s">
        <v>20</v>
      </c>
      <c r="D43" s="41">
        <v>2011</v>
      </c>
      <c r="E43" s="136" t="s">
        <v>118</v>
      </c>
      <c r="F43" s="32" t="s">
        <v>119</v>
      </c>
      <c r="G43" s="41" t="s">
        <v>14</v>
      </c>
      <c r="H43" s="136" t="s">
        <v>24</v>
      </c>
      <c r="I43" s="85">
        <v>2000</v>
      </c>
      <c r="J43" s="33" t="s">
        <v>14</v>
      </c>
      <c r="K43" s="32" t="s">
        <v>23</v>
      </c>
      <c r="L43" s="32" t="s">
        <v>22</v>
      </c>
      <c r="M43" s="32" t="s">
        <v>14</v>
      </c>
      <c r="N43" s="32" t="s">
        <v>14</v>
      </c>
      <c r="O43" s="32" t="s">
        <v>14</v>
      </c>
      <c r="P43" s="41" t="s">
        <v>14</v>
      </c>
      <c r="Q43" s="90">
        <v>500</v>
      </c>
      <c r="R43" s="34">
        <v>25</v>
      </c>
      <c r="S43" s="33" t="s">
        <v>14</v>
      </c>
      <c r="T43" s="34" t="s">
        <v>14</v>
      </c>
      <c r="U43" s="34" t="s">
        <v>14</v>
      </c>
      <c r="V43" s="31" t="s">
        <v>14</v>
      </c>
      <c r="W43" s="31" t="s">
        <v>14</v>
      </c>
      <c r="X43" s="31" t="s">
        <v>14</v>
      </c>
      <c r="Y43" s="30" t="s">
        <v>14</v>
      </c>
      <c r="Z43" s="136" t="s">
        <v>14</v>
      </c>
      <c r="AA43" s="32" t="s">
        <v>14</v>
      </c>
      <c r="AB43" s="32" t="s">
        <v>14</v>
      </c>
      <c r="AC43" s="32" t="s">
        <v>385</v>
      </c>
      <c r="AD43" s="32" t="s">
        <v>14</v>
      </c>
      <c r="AE43" s="41" t="s">
        <v>120</v>
      </c>
      <c r="AF43" s="61" t="s">
        <v>121</v>
      </c>
    </row>
    <row r="44" spans="2:32" x14ac:dyDescent="0.25">
      <c r="B44" s="31" t="s">
        <v>403</v>
      </c>
      <c r="C44" s="32" t="s">
        <v>20</v>
      </c>
      <c r="D44" s="41">
        <v>2011</v>
      </c>
      <c r="E44" s="136" t="s">
        <v>118</v>
      </c>
      <c r="F44" s="32" t="s">
        <v>119</v>
      </c>
      <c r="G44" s="41" t="s">
        <v>14</v>
      </c>
      <c r="H44" s="136" t="s">
        <v>28</v>
      </c>
      <c r="I44" s="85">
        <v>20000</v>
      </c>
      <c r="J44" s="33" t="s">
        <v>14</v>
      </c>
      <c r="K44" s="32" t="s">
        <v>23</v>
      </c>
      <c r="L44" s="32" t="s">
        <v>22</v>
      </c>
      <c r="M44" s="32" t="s">
        <v>14</v>
      </c>
      <c r="N44" s="32" t="s">
        <v>14</v>
      </c>
      <c r="O44" s="32" t="s">
        <v>14</v>
      </c>
      <c r="P44" s="41" t="s">
        <v>14</v>
      </c>
      <c r="Q44" s="90">
        <v>5000</v>
      </c>
      <c r="R44" s="34">
        <v>25</v>
      </c>
      <c r="S44" s="33" t="s">
        <v>14</v>
      </c>
      <c r="T44" s="34" t="s">
        <v>14</v>
      </c>
      <c r="U44" s="34" t="s">
        <v>14</v>
      </c>
      <c r="V44" s="31" t="s">
        <v>14</v>
      </c>
      <c r="W44" s="31" t="s">
        <v>14</v>
      </c>
      <c r="X44" s="31" t="s">
        <v>14</v>
      </c>
      <c r="Y44" s="30" t="s">
        <v>14</v>
      </c>
      <c r="Z44" s="136" t="s">
        <v>14</v>
      </c>
      <c r="AA44" s="32" t="s">
        <v>14</v>
      </c>
      <c r="AB44" s="32" t="s">
        <v>14</v>
      </c>
      <c r="AC44" s="32" t="s">
        <v>386</v>
      </c>
      <c r="AD44" s="32" t="s">
        <v>14</v>
      </c>
      <c r="AE44" s="142" t="s">
        <v>122</v>
      </c>
      <c r="AF44" s="61" t="s">
        <v>121</v>
      </c>
    </row>
    <row r="45" spans="2:32" x14ac:dyDescent="0.25">
      <c r="B45" s="31" t="s">
        <v>404</v>
      </c>
      <c r="C45" s="32" t="s">
        <v>20</v>
      </c>
      <c r="D45" s="41">
        <v>2011</v>
      </c>
      <c r="E45" s="136" t="s">
        <v>118</v>
      </c>
      <c r="F45" s="32" t="s">
        <v>119</v>
      </c>
      <c r="G45" s="41" t="s">
        <v>14</v>
      </c>
      <c r="H45" s="136" t="s">
        <v>28</v>
      </c>
      <c r="I45" s="85">
        <v>100000</v>
      </c>
      <c r="J45" s="33" t="s">
        <v>14</v>
      </c>
      <c r="K45" s="32" t="s">
        <v>23</v>
      </c>
      <c r="L45" s="32" t="s">
        <v>22</v>
      </c>
      <c r="M45" s="32" t="s">
        <v>14</v>
      </c>
      <c r="N45" s="32" t="s">
        <v>14</v>
      </c>
      <c r="O45" s="32" t="s">
        <v>14</v>
      </c>
      <c r="P45" s="41" t="s">
        <v>14</v>
      </c>
      <c r="Q45" s="90">
        <v>25000</v>
      </c>
      <c r="R45" s="34">
        <v>25</v>
      </c>
      <c r="S45" s="33" t="s">
        <v>14</v>
      </c>
      <c r="T45" s="34" t="s">
        <v>14</v>
      </c>
      <c r="U45" s="34" t="s">
        <v>14</v>
      </c>
      <c r="V45" s="31" t="s">
        <v>14</v>
      </c>
      <c r="W45" s="31" t="s">
        <v>14</v>
      </c>
      <c r="X45" s="31" t="s">
        <v>14</v>
      </c>
      <c r="Y45" s="30" t="s">
        <v>14</v>
      </c>
      <c r="Z45" s="136" t="s">
        <v>14</v>
      </c>
      <c r="AA45" s="32" t="s">
        <v>14</v>
      </c>
      <c r="AB45" s="32" t="s">
        <v>14</v>
      </c>
      <c r="AC45" s="32" t="s">
        <v>387</v>
      </c>
      <c r="AD45" s="32" t="s">
        <v>14</v>
      </c>
      <c r="AE45" s="143" t="s">
        <v>123</v>
      </c>
      <c r="AF45" s="61" t="s">
        <v>121</v>
      </c>
    </row>
    <row r="46" spans="2:32" x14ac:dyDescent="0.25">
      <c r="B46" s="31" t="s">
        <v>124</v>
      </c>
      <c r="C46" s="32" t="s">
        <v>20</v>
      </c>
      <c r="D46" s="41" t="s">
        <v>125</v>
      </c>
      <c r="E46" s="136" t="s">
        <v>126</v>
      </c>
      <c r="F46" s="48" t="s">
        <v>127</v>
      </c>
      <c r="G46" s="41" t="s">
        <v>128</v>
      </c>
      <c r="H46" s="136" t="s">
        <v>28</v>
      </c>
      <c r="I46" s="85">
        <v>80000</v>
      </c>
      <c r="J46" s="33" t="s">
        <v>14</v>
      </c>
      <c r="K46" s="32" t="s">
        <v>22</v>
      </c>
      <c r="L46" s="32" t="s">
        <v>23</v>
      </c>
      <c r="M46" s="32" t="s">
        <v>129</v>
      </c>
      <c r="N46" s="32" t="s">
        <v>14</v>
      </c>
      <c r="O46" s="32" t="s">
        <v>14</v>
      </c>
      <c r="P46" s="47">
        <v>450</v>
      </c>
      <c r="Q46" s="64" t="s">
        <v>382</v>
      </c>
      <c r="R46" s="44" t="s">
        <v>383</v>
      </c>
      <c r="S46" s="46">
        <v>30</v>
      </c>
      <c r="T46" s="34" t="s">
        <v>14</v>
      </c>
      <c r="U46" s="34" t="s">
        <v>394</v>
      </c>
      <c r="V46" s="31" t="s">
        <v>14</v>
      </c>
      <c r="W46" s="31" t="s">
        <v>14</v>
      </c>
      <c r="X46" s="31" t="s">
        <v>14</v>
      </c>
      <c r="Y46" s="30" t="s">
        <v>14</v>
      </c>
      <c r="Z46" s="136" t="s">
        <v>14</v>
      </c>
      <c r="AA46" s="32" t="s">
        <v>14</v>
      </c>
      <c r="AB46" s="32" t="s">
        <v>14</v>
      </c>
      <c r="AC46" s="32" t="s">
        <v>14</v>
      </c>
      <c r="AD46" s="32">
        <v>37</v>
      </c>
      <c r="AE46" s="41" t="s">
        <v>14</v>
      </c>
      <c r="AF46" s="61" t="s">
        <v>130</v>
      </c>
    </row>
    <row r="47" spans="2:32" x14ac:dyDescent="0.25">
      <c r="B47" s="31" t="s">
        <v>245</v>
      </c>
      <c r="C47" s="32" t="s">
        <v>20</v>
      </c>
      <c r="D47" s="41">
        <v>2022</v>
      </c>
      <c r="E47" s="136" t="s">
        <v>248</v>
      </c>
      <c r="F47" s="89">
        <v>12</v>
      </c>
      <c r="G47" s="128">
        <v>11.64</v>
      </c>
      <c r="H47" s="136" t="s">
        <v>27</v>
      </c>
      <c r="I47" s="34">
        <f>J47*0.88</f>
        <v>295.68</v>
      </c>
      <c r="J47" s="34">
        <f>42*8</f>
        <v>336</v>
      </c>
      <c r="K47" s="32" t="s">
        <v>22</v>
      </c>
      <c r="L47" s="32" t="s">
        <v>23</v>
      </c>
      <c r="M47" s="32" t="s">
        <v>246</v>
      </c>
      <c r="N47" s="32" t="s">
        <v>14</v>
      </c>
      <c r="O47" s="32" t="s">
        <v>14</v>
      </c>
      <c r="P47" s="47" t="s">
        <v>247</v>
      </c>
      <c r="Q47" s="90" t="s">
        <v>391</v>
      </c>
      <c r="R47" s="88">
        <v>40</v>
      </c>
      <c r="S47" s="46">
        <v>7.72</v>
      </c>
      <c r="T47" s="34">
        <f>27*8</f>
        <v>216</v>
      </c>
      <c r="U47" s="45">
        <v>13.31</v>
      </c>
      <c r="V47" s="93">
        <v>64.28</v>
      </c>
      <c r="W47" s="31" t="s">
        <v>14</v>
      </c>
      <c r="X47" s="31" t="s">
        <v>14</v>
      </c>
      <c r="Y47" s="30" t="s">
        <v>14</v>
      </c>
      <c r="Z47" s="136">
        <v>49</v>
      </c>
      <c r="AA47" s="32" t="s">
        <v>14</v>
      </c>
      <c r="AB47" s="34">
        <f>1.4*I47</f>
        <v>413.952</v>
      </c>
      <c r="AC47" s="32" t="s">
        <v>14</v>
      </c>
      <c r="AD47" s="92">
        <f>Z47/134*100</f>
        <v>36.567164179104481</v>
      </c>
      <c r="AE47" s="41" t="s">
        <v>14</v>
      </c>
      <c r="AF47" s="61" t="s">
        <v>390</v>
      </c>
    </row>
    <row r="48" spans="2:32" s="32" customFormat="1" x14ac:dyDescent="0.25">
      <c r="B48" s="32" t="s">
        <v>415</v>
      </c>
      <c r="C48" s="32" t="s">
        <v>20</v>
      </c>
      <c r="D48" s="41">
        <v>2020</v>
      </c>
      <c r="E48" s="136" t="s">
        <v>33</v>
      </c>
      <c r="F48" s="32">
        <v>20</v>
      </c>
      <c r="G48" s="41">
        <v>10</v>
      </c>
      <c r="H48" s="136" t="s">
        <v>21</v>
      </c>
      <c r="I48" s="85">
        <v>1100</v>
      </c>
      <c r="J48" s="32">
        <f>I48/0.8</f>
        <v>1375</v>
      </c>
      <c r="K48" s="32" t="s">
        <v>22</v>
      </c>
      <c r="L48" s="32" t="s">
        <v>23</v>
      </c>
      <c r="M48" s="32" t="s">
        <v>409</v>
      </c>
      <c r="N48" s="32" t="s">
        <v>14</v>
      </c>
      <c r="O48" s="32" t="s">
        <v>406</v>
      </c>
      <c r="P48" s="41" t="s">
        <v>140</v>
      </c>
      <c r="Q48" s="136" t="s">
        <v>407</v>
      </c>
      <c r="R48" s="32" t="s">
        <v>14</v>
      </c>
      <c r="S48" s="32" t="s">
        <v>14</v>
      </c>
      <c r="T48" s="32" t="s">
        <v>14</v>
      </c>
      <c r="U48" s="32" t="s">
        <v>14</v>
      </c>
      <c r="V48" s="32" t="s">
        <v>14</v>
      </c>
      <c r="W48" s="32" t="s">
        <v>14</v>
      </c>
      <c r="X48" s="32" t="s">
        <v>14</v>
      </c>
      <c r="Y48" s="41" t="s">
        <v>14</v>
      </c>
      <c r="Z48" s="136">
        <f>AB48/7.5</f>
        <v>150</v>
      </c>
      <c r="AA48" s="32" t="s">
        <v>14</v>
      </c>
      <c r="AB48" s="32">
        <v>1125</v>
      </c>
      <c r="AC48" s="32" t="s">
        <v>14</v>
      </c>
      <c r="AD48" s="32" t="s">
        <v>14</v>
      </c>
      <c r="AE48" s="41" t="s">
        <v>14</v>
      </c>
      <c r="AF48" s="136"/>
    </row>
    <row r="49" spans="2:32" s="32" customFormat="1" x14ac:dyDescent="0.25">
      <c r="B49" s="32" t="s">
        <v>416</v>
      </c>
      <c r="C49" s="32" t="s">
        <v>20</v>
      </c>
      <c r="D49" s="41">
        <v>2020</v>
      </c>
      <c r="E49" s="136" t="s">
        <v>33</v>
      </c>
      <c r="F49" s="32">
        <v>20</v>
      </c>
      <c r="G49" s="41">
        <v>10</v>
      </c>
      <c r="H49" s="136" t="s">
        <v>21</v>
      </c>
      <c r="I49" s="85">
        <v>3000</v>
      </c>
      <c r="J49" s="32">
        <f>I49/0.8</f>
        <v>3750</v>
      </c>
      <c r="K49" s="32" t="s">
        <v>22</v>
      </c>
      <c r="L49" s="32" t="s">
        <v>23</v>
      </c>
      <c r="M49" s="32" t="s">
        <v>410</v>
      </c>
      <c r="N49" s="32" t="s">
        <v>14</v>
      </c>
      <c r="O49" s="32" t="s">
        <v>406</v>
      </c>
      <c r="P49" s="41" t="s">
        <v>140</v>
      </c>
      <c r="Q49" s="136" t="s">
        <v>408</v>
      </c>
      <c r="R49" s="32" t="s">
        <v>14</v>
      </c>
      <c r="S49" s="32" t="s">
        <v>14</v>
      </c>
      <c r="T49" s="32" t="s">
        <v>14</v>
      </c>
      <c r="U49" s="32" t="s">
        <v>14</v>
      </c>
      <c r="V49" s="32" t="s">
        <v>14</v>
      </c>
      <c r="W49" s="32" t="s">
        <v>14</v>
      </c>
      <c r="X49" s="32" t="s">
        <v>14</v>
      </c>
      <c r="Y49" s="41" t="s">
        <v>14</v>
      </c>
      <c r="Z49" s="136">
        <f>AB49/7.5</f>
        <v>700</v>
      </c>
      <c r="AA49" s="32" t="s">
        <v>14</v>
      </c>
      <c r="AB49" s="32">
        <v>5250</v>
      </c>
      <c r="AC49" s="32" t="s">
        <v>14</v>
      </c>
      <c r="AD49" s="32" t="s">
        <v>14</v>
      </c>
      <c r="AE49" s="41" t="s">
        <v>14</v>
      </c>
      <c r="AF49" s="136"/>
    </row>
    <row r="50" spans="2:32" x14ac:dyDescent="0.25">
      <c r="O50" s="35"/>
    </row>
    <row r="51" spans="2:32" x14ac:dyDescent="0.25"/>
  </sheetData>
  <phoneticPr fontId="3"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9FDF3-24E8-453E-9CE0-D872DE4F361F}">
  <sheetPr codeName="Tabelle4"/>
  <dimension ref="A1:AT25"/>
  <sheetViews>
    <sheetView showGridLines="0" zoomScale="85" zoomScaleNormal="85" workbookViewId="0">
      <selection activeCell="B4" sqref="B4"/>
    </sheetView>
  </sheetViews>
  <sheetFormatPr baseColWidth="10" defaultColWidth="0" defaultRowHeight="15" zeroHeight="1" x14ac:dyDescent="0.25"/>
  <cols>
    <col min="1" max="1" width="11.42578125" style="46" customWidth="1"/>
    <col min="2" max="2" width="48.85546875" style="46" customWidth="1"/>
    <col min="3" max="3" width="11.42578125" style="90" customWidth="1"/>
    <col min="4" max="4" width="10.28515625" style="46" customWidth="1"/>
    <col min="5" max="5" width="10.85546875" style="46" customWidth="1"/>
    <col min="6" max="6" width="14.85546875" style="46" customWidth="1"/>
    <col min="7" max="9" width="13.140625" style="46" customWidth="1"/>
    <col min="10" max="10" width="13.140625" style="90" customWidth="1"/>
    <col min="11" max="12" width="13.140625" style="46" customWidth="1"/>
    <col min="13" max="13" width="17.42578125" style="90" bestFit="1" customWidth="1"/>
    <col min="14" max="14" width="11.140625" style="46" customWidth="1"/>
    <col min="15" max="15" width="16.140625" style="46" customWidth="1"/>
    <col min="16" max="16" width="14.7109375" style="46" customWidth="1"/>
    <col min="17" max="17" width="15.140625" style="46" customWidth="1"/>
    <col min="18" max="18" width="15.140625" style="168" customWidth="1"/>
    <col min="19" max="19" width="11.140625" style="46" customWidth="1"/>
    <col min="20" max="20" width="9.5703125" style="46" customWidth="1"/>
    <col min="21" max="21" width="13.140625" style="46" customWidth="1"/>
    <col min="22" max="22" width="20.28515625" style="46" customWidth="1"/>
    <col min="23" max="23" width="11.5703125" style="46" customWidth="1"/>
    <col min="24" max="24" width="14.5703125" style="46" customWidth="1"/>
    <col min="25" max="25" width="16.7109375" style="46" customWidth="1"/>
    <col min="26" max="26" width="16.140625" style="90" customWidth="1"/>
    <col min="27" max="27" width="14.85546875" style="46" customWidth="1"/>
    <col min="28" max="28" width="14" style="46" customWidth="1"/>
    <col min="29" max="29" width="13.42578125" style="46" customWidth="1"/>
    <col min="30" max="30" width="11.140625" style="46" customWidth="1"/>
    <col min="31" max="31" width="134" style="90" customWidth="1"/>
    <col min="32" max="36" width="11.42578125" style="46" hidden="1" customWidth="1"/>
    <col min="37" max="46" width="0" style="46" hidden="1" customWidth="1"/>
    <col min="47" max="16384" width="11.42578125" style="46" hidden="1"/>
  </cols>
  <sheetData>
    <row r="1" spans="1:31" s="144" customFormat="1" x14ac:dyDescent="0.25">
      <c r="C1" s="145" t="s">
        <v>358</v>
      </c>
      <c r="D1" s="146"/>
      <c r="E1" s="146"/>
      <c r="F1" s="146"/>
      <c r="G1" s="146"/>
      <c r="H1" s="146"/>
      <c r="I1" s="146"/>
      <c r="J1" s="145" t="s">
        <v>418</v>
      </c>
      <c r="K1" s="146"/>
      <c r="L1" s="146"/>
      <c r="M1" s="145" t="s">
        <v>417</v>
      </c>
      <c r="N1" s="146"/>
      <c r="O1" s="146"/>
      <c r="P1" s="146"/>
      <c r="Q1" s="146"/>
      <c r="R1" s="146"/>
      <c r="S1" s="146"/>
      <c r="T1" s="146"/>
      <c r="U1" s="146"/>
      <c r="V1" s="146"/>
      <c r="W1" s="146"/>
      <c r="X1" s="146"/>
      <c r="Y1" s="146"/>
      <c r="Z1" s="145" t="s">
        <v>357</v>
      </c>
      <c r="AA1" s="146"/>
      <c r="AB1" s="146"/>
      <c r="AC1" s="146"/>
      <c r="AD1" s="146"/>
      <c r="AE1" s="147"/>
    </row>
    <row r="2" spans="1:31" s="144" customFormat="1" ht="30" x14ac:dyDescent="0.25">
      <c r="B2" s="148" t="s">
        <v>0</v>
      </c>
      <c r="C2" s="149" t="s">
        <v>1</v>
      </c>
      <c r="D2" s="148" t="s">
        <v>2</v>
      </c>
      <c r="E2" s="148" t="s">
        <v>193</v>
      </c>
      <c r="F2" s="148" t="s">
        <v>3</v>
      </c>
      <c r="G2" s="148" t="s">
        <v>191</v>
      </c>
      <c r="H2" s="148" t="s">
        <v>395</v>
      </c>
      <c r="I2" s="148" t="s">
        <v>396</v>
      </c>
      <c r="J2" s="149" t="s">
        <v>419</v>
      </c>
      <c r="K2" s="148" t="s">
        <v>420</v>
      </c>
      <c r="L2" s="148" t="s">
        <v>373</v>
      </c>
      <c r="M2" s="149" t="s">
        <v>48</v>
      </c>
      <c r="N2" s="148" t="s">
        <v>49</v>
      </c>
      <c r="O2" s="148" t="s">
        <v>101</v>
      </c>
      <c r="P2" s="148" t="s">
        <v>356</v>
      </c>
      <c r="Q2" s="148" t="s">
        <v>102</v>
      </c>
      <c r="R2" s="148" t="s">
        <v>494</v>
      </c>
      <c r="S2" s="148" t="s">
        <v>4</v>
      </c>
      <c r="T2" s="148" t="s">
        <v>5</v>
      </c>
      <c r="U2" s="148" t="s">
        <v>253</v>
      </c>
      <c r="V2" s="148" t="s">
        <v>254</v>
      </c>
      <c r="W2" s="148" t="s">
        <v>110</v>
      </c>
      <c r="X2" s="148" t="s">
        <v>50</v>
      </c>
      <c r="Y2" s="148" t="s">
        <v>484</v>
      </c>
      <c r="Z2" s="149" t="s">
        <v>51</v>
      </c>
      <c r="AA2" s="148" t="s">
        <v>52</v>
      </c>
      <c r="AB2" s="148" t="s">
        <v>54</v>
      </c>
      <c r="AC2" s="148" t="s">
        <v>53</v>
      </c>
      <c r="AD2" s="148" t="s">
        <v>50</v>
      </c>
      <c r="AE2" s="149" t="s">
        <v>31</v>
      </c>
    </row>
    <row r="3" spans="1:31" s="151" customFormat="1" x14ac:dyDescent="0.25">
      <c r="A3" s="150" t="s">
        <v>9</v>
      </c>
      <c r="C3" s="152"/>
      <c r="G3" s="151" t="s">
        <v>192</v>
      </c>
      <c r="H3" s="151" t="s">
        <v>137</v>
      </c>
      <c r="I3" s="151" t="s">
        <v>138</v>
      </c>
      <c r="J3" s="152"/>
      <c r="M3" s="153" t="s">
        <v>104</v>
      </c>
      <c r="N3" s="154" t="s">
        <v>104</v>
      </c>
      <c r="O3" s="154" t="s">
        <v>104</v>
      </c>
      <c r="P3" s="154" t="s">
        <v>104</v>
      </c>
      <c r="Q3" s="154" t="s">
        <v>104</v>
      </c>
      <c r="R3" s="154" t="s">
        <v>104</v>
      </c>
      <c r="S3" s="154" t="s">
        <v>104</v>
      </c>
      <c r="T3" s="154" t="s">
        <v>104</v>
      </c>
      <c r="U3" s="154" t="s">
        <v>104</v>
      </c>
      <c r="V3" s="154" t="s">
        <v>104</v>
      </c>
      <c r="W3" s="154"/>
      <c r="X3" s="154" t="s">
        <v>104</v>
      </c>
      <c r="Y3" s="154" t="s">
        <v>104</v>
      </c>
      <c r="Z3" s="153" t="s">
        <v>61</v>
      </c>
      <c r="AA3" s="154" t="s">
        <v>61</v>
      </c>
      <c r="AB3" s="154" t="s">
        <v>61</v>
      </c>
      <c r="AC3" s="154" t="s">
        <v>61</v>
      </c>
      <c r="AD3" s="154" t="s">
        <v>61</v>
      </c>
      <c r="AE3" s="152"/>
    </row>
    <row r="4" spans="1:31" s="155" customFormat="1" x14ac:dyDescent="0.25">
      <c r="B4" s="50" t="s">
        <v>483</v>
      </c>
      <c r="C4" s="156" t="str">
        <f>_xlfn.XLOOKUP($B4,Technisch!$B$4:$B$49,Technisch!$C$4:$C$49)</f>
        <v>Datenerhebung</v>
      </c>
      <c r="D4" s="52" t="str">
        <f>_xlfn.XLOOKUP($B4,Technisch!$B$4:$B$49,Technisch!$D$4:$D$49)</f>
        <v>2022-2023</v>
      </c>
      <c r="E4" s="52">
        <v>2023</v>
      </c>
      <c r="F4" s="155" t="str">
        <f>_xlfn.XLOOKUP($B4,Technisch!$B$4:$B$49,Technisch!$H$4:$H$49)</f>
        <v>Small</v>
      </c>
      <c r="G4" s="155">
        <f>_xlfn.XLOOKUP($B4,Technisch!$B$4:$B$49,Technisch!$Q$4:$Q$49)</f>
        <v>152</v>
      </c>
      <c r="H4" s="155">
        <f>_xlfn.XLOOKUP($B4,Technisch!$B$4:$B$49,Technisch!$Z$4:$Z$49)</f>
        <v>160</v>
      </c>
      <c r="I4" s="155">
        <f>_xlfn.XLOOKUP($B4,Technisch!$B$4:$B$49,Technisch!$AA$4:$AA$49)</f>
        <v>0</v>
      </c>
      <c r="J4" s="157">
        <f>M4/G4</f>
        <v>3078.9473684210525</v>
      </c>
      <c r="K4" s="158">
        <f>M4/H4</f>
        <v>2925</v>
      </c>
      <c r="L4" s="158" t="s">
        <v>182</v>
      </c>
      <c r="M4" s="159">
        <f>Q4*2</f>
        <v>468000</v>
      </c>
      <c r="N4" s="168" t="s">
        <v>500</v>
      </c>
      <c r="O4" s="168" t="s">
        <v>500</v>
      </c>
      <c r="P4" s="168" t="s">
        <v>496</v>
      </c>
      <c r="Q4" s="168">
        <v>234000</v>
      </c>
      <c r="R4" s="168" t="s">
        <v>496</v>
      </c>
      <c r="S4" s="168" t="s">
        <v>496</v>
      </c>
      <c r="T4" s="168" t="s">
        <v>14</v>
      </c>
      <c r="U4" s="168" t="s">
        <v>14</v>
      </c>
      <c r="V4" s="168" t="s">
        <v>496</v>
      </c>
      <c r="W4" s="168" t="s">
        <v>14</v>
      </c>
      <c r="X4" s="168" t="s">
        <v>14</v>
      </c>
      <c r="Y4" s="168" t="s">
        <v>496</v>
      </c>
      <c r="Z4" s="156">
        <f>SUM(AA4:AC4)</f>
        <v>55500</v>
      </c>
      <c r="AA4" s="160">
        <f>0.02*M4</f>
        <v>9360</v>
      </c>
      <c r="AB4" s="46">
        <f>0.005*M4</f>
        <v>2340</v>
      </c>
      <c r="AC4" s="160">
        <f>1095*40</f>
        <v>43800</v>
      </c>
      <c r="AD4" s="155" t="s">
        <v>14</v>
      </c>
      <c r="AE4" s="90" t="s">
        <v>482</v>
      </c>
    </row>
    <row r="5" spans="1:31" s="155" customFormat="1" x14ac:dyDescent="0.25">
      <c r="B5" s="50" t="s">
        <v>497</v>
      </c>
      <c r="C5" s="156" t="str">
        <f>_xlfn.XLOOKUP($B5,Technisch!$B$4:$B$49,Technisch!$C$4:$C$49)</f>
        <v>Datenerhebung</v>
      </c>
      <c r="D5" s="52" t="str">
        <f>_xlfn.XLOOKUP($B5,Technisch!$B$4:$B$49,Technisch!$D$4:$D$49)</f>
        <v>2022-2023</v>
      </c>
      <c r="E5" s="52">
        <v>2023</v>
      </c>
      <c r="F5" s="155" t="str">
        <f>_xlfn.XLOOKUP($B5,Technisch!$B$4:$B$49,Technisch!$H$4:$H$49)</f>
        <v>Medium</v>
      </c>
      <c r="G5" s="155">
        <f>_xlfn.XLOOKUP($B5,Technisch!$B$4:$B$49,Technisch!$Q$4:$Q$49)</f>
        <v>400</v>
      </c>
      <c r="H5" s="155">
        <f>_xlfn.XLOOKUP($B5,Technisch!$B$4:$B$49,Technisch!$Z$4:$Z$49)</f>
        <v>400</v>
      </c>
      <c r="I5" s="155">
        <f>_xlfn.XLOOKUP($B5,Technisch!$B$4:$B$49,Technisch!$AA$4:$AA$49)</f>
        <v>0</v>
      </c>
      <c r="J5" s="157">
        <f t="shared" ref="J5:J6" si="0">M5/G5</f>
        <v>2332.5</v>
      </c>
      <c r="K5" s="158">
        <f t="shared" ref="K5:K6" si="1">M5/H5</f>
        <v>2332.5</v>
      </c>
      <c r="L5" s="158" t="s">
        <v>182</v>
      </c>
      <c r="M5" s="159">
        <f>Q5*2</f>
        <v>933000</v>
      </c>
      <c r="N5" s="168" t="s">
        <v>500</v>
      </c>
      <c r="O5" s="168" t="s">
        <v>500</v>
      </c>
      <c r="P5" s="168" t="s">
        <v>496</v>
      </c>
      <c r="Q5" s="168">
        <v>466500</v>
      </c>
      <c r="R5" s="168" t="s">
        <v>496</v>
      </c>
      <c r="S5" s="168" t="s">
        <v>496</v>
      </c>
      <c r="T5" s="168" t="s">
        <v>14</v>
      </c>
      <c r="U5" s="168" t="s">
        <v>14</v>
      </c>
      <c r="V5" s="168" t="s">
        <v>496</v>
      </c>
      <c r="W5" s="168" t="s">
        <v>14</v>
      </c>
      <c r="X5" s="168" t="s">
        <v>14</v>
      </c>
      <c r="Y5" s="168" t="s">
        <v>496</v>
      </c>
      <c r="Z5" s="156">
        <f t="shared" ref="Z5:Z6" si="2">SUM(AA5:AC5)</f>
        <v>81725</v>
      </c>
      <c r="AA5" s="160">
        <f t="shared" ref="AA5:AA6" si="3">0.02*M5</f>
        <v>18660</v>
      </c>
      <c r="AB5" s="46">
        <f t="shared" ref="AB5:AB6" si="4">0.005*M5</f>
        <v>4665</v>
      </c>
      <c r="AC5" s="160">
        <f>1460*40</f>
        <v>58400</v>
      </c>
      <c r="AD5" s="155" t="s">
        <v>14</v>
      </c>
      <c r="AE5" s="90" t="s">
        <v>482</v>
      </c>
    </row>
    <row r="6" spans="1:31" s="155" customFormat="1" ht="15" customHeight="1" x14ac:dyDescent="0.25">
      <c r="B6" s="50" t="s">
        <v>498</v>
      </c>
      <c r="C6" s="156" t="str">
        <f>_xlfn.XLOOKUP($B6,Technisch!$B$4:$B$49,Technisch!$C$4:$C$49)</f>
        <v>Datenerhebung</v>
      </c>
      <c r="D6" s="52" t="str">
        <f>_xlfn.XLOOKUP($B6,Technisch!$B$4:$B$49,Technisch!$D$4:$D$49)</f>
        <v>2022-2023</v>
      </c>
      <c r="E6" s="52">
        <v>2023</v>
      </c>
      <c r="F6" s="155" t="str">
        <f>_xlfn.XLOOKUP($B6,Technisch!$B$4:$B$49,Technisch!$H$4:$H$49)</f>
        <v>Large</v>
      </c>
      <c r="G6" s="155">
        <f>_xlfn.XLOOKUP($B6,Technisch!$B$4:$B$49,Technisch!$Q$4:$Q$49)</f>
        <v>1600</v>
      </c>
      <c r="H6" s="155">
        <f>_xlfn.XLOOKUP($B6,Technisch!$B$4:$B$49,Technisch!$Z$4:$Z$49)</f>
        <v>1200</v>
      </c>
      <c r="I6" s="155">
        <f>_xlfn.XLOOKUP($B6,Technisch!$B$4:$B$49,Technisch!$AA$4:$AA$49)</f>
        <v>220</v>
      </c>
      <c r="J6" s="157">
        <f t="shared" si="0"/>
        <v>3300</v>
      </c>
      <c r="K6" s="158">
        <f t="shared" si="1"/>
        <v>4400</v>
      </c>
      <c r="L6" s="161">
        <f>M6/I6</f>
        <v>24000</v>
      </c>
      <c r="M6" s="159">
        <v>5280000</v>
      </c>
      <c r="N6" s="168" t="s">
        <v>496</v>
      </c>
      <c r="O6" s="168" t="s">
        <v>496</v>
      </c>
      <c r="P6" s="168" t="s">
        <v>496</v>
      </c>
      <c r="Q6" s="168">
        <v>4400000</v>
      </c>
      <c r="R6" s="168" t="s">
        <v>496</v>
      </c>
      <c r="S6" s="168" t="s">
        <v>496</v>
      </c>
      <c r="T6" s="168" t="s">
        <v>496</v>
      </c>
      <c r="U6" s="168" t="s">
        <v>14</v>
      </c>
      <c r="V6" s="168" t="s">
        <v>496</v>
      </c>
      <c r="W6" s="168" t="s">
        <v>14</v>
      </c>
      <c r="X6" s="168" t="s">
        <v>14</v>
      </c>
      <c r="Y6" s="168">
        <v>880000</v>
      </c>
      <c r="Z6" s="156">
        <f t="shared" si="2"/>
        <v>215200</v>
      </c>
      <c r="AA6" s="160">
        <f t="shared" si="3"/>
        <v>105600</v>
      </c>
      <c r="AB6" s="46">
        <f t="shared" si="4"/>
        <v>26400</v>
      </c>
      <c r="AC6" s="160">
        <f>2080*40</f>
        <v>83200</v>
      </c>
      <c r="AD6" s="155" t="s">
        <v>14</v>
      </c>
      <c r="AE6" s="90" t="s">
        <v>482</v>
      </c>
    </row>
    <row r="7" spans="1:31" x14ac:dyDescent="0.25">
      <c r="B7" s="46" t="s">
        <v>80</v>
      </c>
      <c r="C7" s="90" t="str">
        <f>_xlfn.XLOOKUP($B7,Technisch!$B$4:$B$49,Technisch!$C$4:$C$49)</f>
        <v>Forschungsprojekt</v>
      </c>
      <c r="D7" s="34" t="str">
        <f>_xlfn.XLOOKUP($B7,Technisch!$B$4:$B$49,Technisch!$D$4:$D$49)</f>
        <v>2017 (2013)</v>
      </c>
      <c r="E7" s="34">
        <v>2012</v>
      </c>
      <c r="F7" s="46" t="str">
        <f>_xlfn.XLOOKUP($B7,Technisch!$B$4:$B$49,Technisch!$H$4:$H$49)</f>
        <v>-</v>
      </c>
      <c r="G7" s="46" t="str">
        <f>_xlfn.XLOOKUP($B7,Technisch!$B$4:$B$49,Technisch!$Q$4:$Q$49)</f>
        <v>-</v>
      </c>
      <c r="H7" s="46" t="str">
        <f>_xlfn.XLOOKUP($B7,Technisch!$B$4:$B$49,Technisch!$Z$4:$Z$49)</f>
        <v>&lt;30% des eingesetzten Wärmeinhalts als Niedertemperatur-Abwärme als Heizungs- oder Trocknungswärme verwertbar</v>
      </c>
      <c r="I7" s="46" t="str">
        <f>_xlfn.XLOOKUP($B7,Technisch!$B$4:$B$49,Technisch!$AA$4:$AA$49)</f>
        <v>-</v>
      </c>
      <c r="J7" s="162" t="s">
        <v>14</v>
      </c>
      <c r="K7" s="163" t="s">
        <v>14</v>
      </c>
      <c r="L7" s="163" t="s">
        <v>14</v>
      </c>
      <c r="M7" s="164">
        <v>523000</v>
      </c>
      <c r="N7" s="46">
        <v>48000</v>
      </c>
      <c r="O7" s="46" t="s">
        <v>354</v>
      </c>
      <c r="P7" s="46" t="s">
        <v>14</v>
      </c>
      <c r="Q7" s="46">
        <v>360000</v>
      </c>
      <c r="S7" s="46">
        <v>2000</v>
      </c>
      <c r="T7" s="46" t="s">
        <v>14</v>
      </c>
      <c r="U7" s="46" t="s">
        <v>14</v>
      </c>
      <c r="V7" s="46">
        <v>12000</v>
      </c>
      <c r="W7" s="46" t="s">
        <v>14</v>
      </c>
      <c r="X7" s="46" t="s">
        <v>14</v>
      </c>
      <c r="Y7" s="46" t="s">
        <v>355</v>
      </c>
      <c r="Z7" s="165">
        <v>57600</v>
      </c>
      <c r="AA7" s="46" t="s">
        <v>14</v>
      </c>
      <c r="AB7" s="46" t="s">
        <v>14</v>
      </c>
      <c r="AC7" s="46" t="s">
        <v>14</v>
      </c>
      <c r="AD7" s="46" t="s">
        <v>14</v>
      </c>
    </row>
    <row r="8" spans="1:31" x14ac:dyDescent="0.25">
      <c r="B8" s="46" t="s">
        <v>80</v>
      </c>
      <c r="C8" s="90" t="str">
        <f>_xlfn.XLOOKUP($B8,Technisch!$B$4:$B$49,Technisch!$C$4:$C$49)</f>
        <v>Forschungsprojekt</v>
      </c>
      <c r="D8" s="34" t="str">
        <f>_xlfn.XLOOKUP($B8,Technisch!$B$4:$B$49,Technisch!$D$4:$D$49)</f>
        <v>2017 (2013)</v>
      </c>
      <c r="E8" s="34">
        <v>2012</v>
      </c>
      <c r="F8" s="46" t="str">
        <f>_xlfn.XLOOKUP($B8,Technisch!$B$4:$B$49,Technisch!$H$4:$H$49)</f>
        <v>-</v>
      </c>
      <c r="G8" s="46" t="str">
        <f>_xlfn.XLOOKUP($B8,Technisch!$B$4:$B$49,Technisch!$Q$4:$Q$49)</f>
        <v>-</v>
      </c>
      <c r="H8" s="46" t="str">
        <f>_xlfn.XLOOKUP($B8,Technisch!$B$4:$B$49,Technisch!$Z$4:$Z$49)</f>
        <v>&lt;30% des eingesetzten Wärmeinhalts als Niedertemperatur-Abwärme als Heizungs- oder Trocknungswärme verwertbar</v>
      </c>
      <c r="I8" s="46" t="str">
        <f>_xlfn.XLOOKUP($B8,Technisch!$B$4:$B$49,Technisch!$AA$4:$AA$49)</f>
        <v>-</v>
      </c>
      <c r="J8" s="162" t="s">
        <v>14</v>
      </c>
      <c r="K8" s="46" t="s">
        <v>196</v>
      </c>
      <c r="L8" s="166" t="s">
        <v>14</v>
      </c>
      <c r="M8" s="164" t="s">
        <v>14</v>
      </c>
      <c r="N8" s="46" t="s">
        <v>14</v>
      </c>
      <c r="O8" s="46" t="s">
        <v>14</v>
      </c>
      <c r="P8" s="155" t="s">
        <v>14</v>
      </c>
      <c r="Q8" s="46" t="s">
        <v>196</v>
      </c>
      <c r="S8" s="46" t="s">
        <v>14</v>
      </c>
      <c r="T8" s="46" t="s">
        <v>14</v>
      </c>
      <c r="U8" s="46" t="s">
        <v>14</v>
      </c>
      <c r="V8" s="46" t="s">
        <v>14</v>
      </c>
      <c r="W8" s="46" t="s">
        <v>14</v>
      </c>
      <c r="X8" s="46" t="s">
        <v>14</v>
      </c>
      <c r="Y8" s="46" t="s">
        <v>14</v>
      </c>
      <c r="Z8" s="167" t="s">
        <v>55</v>
      </c>
      <c r="AA8" s="46" t="s">
        <v>14</v>
      </c>
      <c r="AB8" s="46" t="s">
        <v>14</v>
      </c>
      <c r="AC8" s="46" t="s">
        <v>14</v>
      </c>
      <c r="AD8" s="46" t="s">
        <v>14</v>
      </c>
    </row>
    <row r="9" spans="1:31" x14ac:dyDescent="0.25">
      <c r="B9" s="46" t="s">
        <v>90</v>
      </c>
      <c r="C9" s="90" t="str">
        <f>_xlfn.XLOOKUP($B9,Technisch!$B$4:$B$49,Technisch!$C$4:$C$49)</f>
        <v>Forschungsprojekt</v>
      </c>
      <c r="D9" s="34" t="str">
        <f>_xlfn.XLOOKUP($B9,Technisch!$B$4:$B$49,Technisch!$D$4:$D$49)</f>
        <v>2015 (2014)</v>
      </c>
      <c r="E9" s="34">
        <v>2014</v>
      </c>
      <c r="F9" s="46" t="str">
        <f>_xlfn.XLOOKUP($B9,Technisch!$B$4:$B$49,Technisch!$H$4:$H$49)</f>
        <v>Micro</v>
      </c>
      <c r="G9" s="46">
        <v>40</v>
      </c>
      <c r="H9" s="46">
        <f>_xlfn.XLOOKUP($B9,Technisch!$B$4:$B$49,Technisch!$Z$4:$Z$49)</f>
        <v>28</v>
      </c>
      <c r="I9" s="46" t="str">
        <f>_xlfn.XLOOKUP($B9,Technisch!$B$4:$B$49,Technisch!$AA$4:$AA$49)</f>
        <v>-</v>
      </c>
      <c r="J9" s="164">
        <f t="shared" ref="J9:K15" si="5">$M9/G9</f>
        <v>2500</v>
      </c>
      <c r="K9" s="166">
        <f t="shared" si="5"/>
        <v>3571.4285714285716</v>
      </c>
      <c r="L9" s="166" t="s">
        <v>14</v>
      </c>
      <c r="M9" s="164">
        <v>100000</v>
      </c>
      <c r="N9" s="46" t="s">
        <v>14</v>
      </c>
      <c r="O9" s="46" t="s">
        <v>14</v>
      </c>
      <c r="P9" s="46" t="s">
        <v>14</v>
      </c>
      <c r="Q9" s="46" t="s">
        <v>14</v>
      </c>
      <c r="S9" s="46" t="s">
        <v>14</v>
      </c>
      <c r="T9" s="46" t="s">
        <v>14</v>
      </c>
      <c r="U9" s="46" t="s">
        <v>14</v>
      </c>
      <c r="V9" s="46" t="s">
        <v>14</v>
      </c>
      <c r="W9" s="46" t="s">
        <v>14</v>
      </c>
      <c r="X9" s="46" t="s">
        <v>14</v>
      </c>
      <c r="Y9" s="46" t="s">
        <v>14</v>
      </c>
      <c r="Z9" s="165">
        <v>12720</v>
      </c>
      <c r="AA9" s="46" t="s">
        <v>14</v>
      </c>
      <c r="AB9" s="46" t="s">
        <v>14</v>
      </c>
      <c r="AC9" s="46" t="s">
        <v>14</v>
      </c>
      <c r="AD9" s="46" t="s">
        <v>14</v>
      </c>
    </row>
    <row r="10" spans="1:31" x14ac:dyDescent="0.25">
      <c r="B10" s="46" t="s">
        <v>62</v>
      </c>
      <c r="C10" s="90" t="str">
        <f>_xlfn.XLOOKUP($B10,Technisch!$B$4:$B$49,Technisch!$C$4:$C$49)</f>
        <v>Literatur</v>
      </c>
      <c r="D10" s="34" t="str">
        <f>_xlfn.XLOOKUP($B10,Technisch!$B$4:$B$49,Technisch!$D$4:$D$49)</f>
        <v>2016 (2014)</v>
      </c>
      <c r="E10" s="34">
        <v>2011</v>
      </c>
      <c r="F10" s="46" t="str">
        <f>_xlfn.XLOOKUP($B10,Technisch!$B$4:$B$49,Technisch!$H$4:$H$49)</f>
        <v>Large</v>
      </c>
      <c r="G10" s="46">
        <f>_xlfn.XLOOKUP($B10,Technisch!$B$4:$B$49,Technisch!$Q$4:$Q$49)</f>
        <v>633.33333333333337</v>
      </c>
      <c r="H10" s="46">
        <f>_xlfn.XLOOKUP($B10,Technisch!$B$4:$B$49,Technisch!$Z$4:$Z$49)</f>
        <v>150</v>
      </c>
      <c r="I10" s="46" t="str">
        <f>_xlfn.XLOOKUP($B10,Technisch!$B$4:$B$49,Technisch!$AA$4:$AA$49)</f>
        <v>-</v>
      </c>
      <c r="J10" s="164">
        <f t="shared" si="5"/>
        <v>789.47368421052624</v>
      </c>
      <c r="K10" s="166">
        <f t="shared" si="5"/>
        <v>3333.3333333333335</v>
      </c>
      <c r="L10" s="166" t="s">
        <v>14</v>
      </c>
      <c r="M10" s="164">
        <v>500000</v>
      </c>
      <c r="N10" s="46" t="s">
        <v>14</v>
      </c>
      <c r="O10" s="46" t="s">
        <v>14</v>
      </c>
      <c r="P10" s="46" t="s">
        <v>14</v>
      </c>
      <c r="Q10" s="46" t="s">
        <v>14</v>
      </c>
      <c r="S10" s="46" t="s">
        <v>14</v>
      </c>
      <c r="T10" s="46" t="s">
        <v>14</v>
      </c>
      <c r="U10" s="46" t="s">
        <v>14</v>
      </c>
      <c r="V10" s="46" t="s">
        <v>14</v>
      </c>
      <c r="W10" s="46" t="s">
        <v>14</v>
      </c>
      <c r="X10" s="46" t="s">
        <v>14</v>
      </c>
      <c r="Y10" s="46" t="s">
        <v>14</v>
      </c>
      <c r="Z10" s="165">
        <v>130000</v>
      </c>
      <c r="AA10" s="46" t="s">
        <v>14</v>
      </c>
      <c r="AB10" s="46" t="s">
        <v>14</v>
      </c>
      <c r="AC10" s="46" t="s">
        <v>14</v>
      </c>
      <c r="AD10" s="46" t="s">
        <v>14</v>
      </c>
      <c r="AE10" s="90" t="s">
        <v>197</v>
      </c>
    </row>
    <row r="11" spans="1:31" x14ac:dyDescent="0.25">
      <c r="B11" s="46" t="s">
        <v>397</v>
      </c>
      <c r="C11" s="90" t="str">
        <f>_xlfn.XLOOKUP($B11,Technisch!$B$4:$B$49,Technisch!$C$4:$C$49)</f>
        <v>Literatur</v>
      </c>
      <c r="D11" s="34" t="str">
        <f>_xlfn.XLOOKUP($B11,Technisch!$B$4:$B$49,Technisch!$D$4:$D$49)</f>
        <v>2014 (2011)</v>
      </c>
      <c r="E11" s="34">
        <v>2012</v>
      </c>
      <c r="F11" s="46" t="str">
        <f>_xlfn.XLOOKUP($B11,Technisch!$B$4:$B$49,Technisch!$H$4:$H$49)</f>
        <v>Large</v>
      </c>
      <c r="G11" s="46">
        <f>_xlfn.XLOOKUP($B11,Technisch!$B$4:$B$49,Technisch!$Q$4:$Q$49)</f>
        <v>680</v>
      </c>
      <c r="H11" s="46">
        <f>_xlfn.XLOOKUP($B11,Technisch!$B$4:$B$49,Technisch!$Z$4:$Z$49)</f>
        <v>505.55555555555554</v>
      </c>
      <c r="I11" s="46" t="str">
        <f>_xlfn.XLOOKUP($B11,Technisch!$B$4:$B$49,Technisch!$AA$4:$AA$49)</f>
        <v>-</v>
      </c>
      <c r="J11" s="164">
        <f t="shared" si="5"/>
        <v>1060.2941176470588</v>
      </c>
      <c r="K11" s="166">
        <f t="shared" si="5"/>
        <v>1426.1538461538462</v>
      </c>
      <c r="L11" s="166" t="s">
        <v>14</v>
      </c>
      <c r="M11" s="164">
        <v>721000</v>
      </c>
      <c r="N11" s="46" t="s">
        <v>14</v>
      </c>
      <c r="O11" s="46" t="s">
        <v>14</v>
      </c>
      <c r="P11" s="46" t="s">
        <v>14</v>
      </c>
      <c r="Q11" s="46" t="s">
        <v>14</v>
      </c>
      <c r="S11" s="46" t="s">
        <v>14</v>
      </c>
      <c r="T11" s="46" t="s">
        <v>14</v>
      </c>
      <c r="U11" s="46" t="s">
        <v>14</v>
      </c>
      <c r="V11" s="46" t="s">
        <v>14</v>
      </c>
      <c r="W11" s="46" t="s">
        <v>14</v>
      </c>
      <c r="X11" s="46" t="s">
        <v>14</v>
      </c>
      <c r="Y11" s="46" t="s">
        <v>14</v>
      </c>
      <c r="Z11" s="165">
        <f>38.8*2000</f>
        <v>77600</v>
      </c>
      <c r="AA11" s="46" t="s">
        <v>14</v>
      </c>
      <c r="AB11" s="46" t="s">
        <v>14</v>
      </c>
      <c r="AC11" s="46" t="s">
        <v>14</v>
      </c>
      <c r="AD11" s="46" t="s">
        <v>14</v>
      </c>
      <c r="AE11" s="90" t="s">
        <v>190</v>
      </c>
    </row>
    <row r="12" spans="1:31" x14ac:dyDescent="0.25">
      <c r="B12" s="46" t="s">
        <v>398</v>
      </c>
      <c r="C12" s="90" t="str">
        <f>_xlfn.XLOOKUP($B12,Technisch!$B$4:$B$49,Technisch!$C$4:$C$49)</f>
        <v>Literatur</v>
      </c>
      <c r="D12" s="34" t="str">
        <f>_xlfn.XLOOKUP($B12,Technisch!$B$4:$B$49,Technisch!$D$4:$D$49)</f>
        <v>2014 (2011)</v>
      </c>
      <c r="E12" s="34">
        <v>2012</v>
      </c>
      <c r="F12" s="46" t="str">
        <f>_xlfn.XLOOKUP($B12,Technisch!$B$4:$B$49,Technisch!$H$4:$H$49)</f>
        <v>Industrial</v>
      </c>
      <c r="G12" s="46">
        <f>_xlfn.XLOOKUP($B12,Technisch!$B$4:$B$49,Technisch!$Q$4:$Q$49)</f>
        <v>5440</v>
      </c>
      <c r="H12" s="46">
        <f>_xlfn.XLOOKUP($B12,Technisch!$B$4:$B$49,Technisch!$Z$4:$Z$49)</f>
        <v>4044.4444444444443</v>
      </c>
      <c r="I12" s="46" t="str">
        <f>_xlfn.XLOOKUP($B12,Technisch!$B$4:$B$49,Technisch!$AA$4:$AA$49)</f>
        <v>-</v>
      </c>
      <c r="J12" s="164">
        <f t="shared" si="5"/>
        <v>1177.5735294117646</v>
      </c>
      <c r="K12" s="166">
        <f t="shared" si="5"/>
        <v>1583.901098901099</v>
      </c>
      <c r="L12" s="166" t="s">
        <v>14</v>
      </c>
      <c r="M12" s="164">
        <v>6406000</v>
      </c>
      <c r="N12" s="46" t="s">
        <v>14</v>
      </c>
      <c r="O12" s="46" t="s">
        <v>14</v>
      </c>
      <c r="P12" s="46" t="s">
        <v>14</v>
      </c>
      <c r="Q12" s="46" t="s">
        <v>14</v>
      </c>
      <c r="S12" s="46" t="s">
        <v>14</v>
      </c>
      <c r="T12" s="46" t="s">
        <v>14</v>
      </c>
      <c r="U12" s="46" t="s">
        <v>14</v>
      </c>
      <c r="V12" s="46" t="s">
        <v>14</v>
      </c>
      <c r="W12" s="46" t="s">
        <v>14</v>
      </c>
      <c r="X12" s="46" t="s">
        <v>14</v>
      </c>
      <c r="Y12" s="46" t="s">
        <v>14</v>
      </c>
      <c r="Z12" s="165">
        <f>44.1*16000</f>
        <v>705600</v>
      </c>
      <c r="AA12" s="46" t="s">
        <v>14</v>
      </c>
      <c r="AB12" s="46" t="s">
        <v>14</v>
      </c>
      <c r="AC12" s="46" t="s">
        <v>14</v>
      </c>
      <c r="AD12" s="46" t="s">
        <v>14</v>
      </c>
    </row>
    <row r="13" spans="1:31" x14ac:dyDescent="0.25">
      <c r="B13" s="46" t="s">
        <v>399</v>
      </c>
      <c r="C13" s="90" t="str">
        <f>_xlfn.XLOOKUP($B13,Technisch!$B$4:$B$49,Technisch!$C$4:$C$49)</f>
        <v>Literatur</v>
      </c>
      <c r="D13" s="34" t="str">
        <f>_xlfn.XLOOKUP($B13,Technisch!$B$4:$B$49,Technisch!$D$4:$D$49)</f>
        <v>2014 (2011)</v>
      </c>
      <c r="E13" s="34">
        <v>2012</v>
      </c>
      <c r="F13" s="46" t="str">
        <f>_xlfn.XLOOKUP($B13,Technisch!$B$4:$B$49,Technisch!$H$4:$H$49)</f>
        <v>Industrial</v>
      </c>
      <c r="G13" s="46">
        <f>_xlfn.XLOOKUP($B13,Technisch!$B$4:$B$49,Technisch!$Q$4:$Q$49)</f>
        <v>62832.000000000007</v>
      </c>
      <c r="H13" s="46">
        <f>_xlfn.XLOOKUP($B13,Technisch!$B$4:$B$49,Technisch!$Z$4:$Z$49)</f>
        <v>46713.333333333336</v>
      </c>
      <c r="I13" s="46" t="str">
        <f>_xlfn.XLOOKUP($B13,Technisch!$B$4:$B$49,Technisch!$AA$4:$AA$49)</f>
        <v>-</v>
      </c>
      <c r="J13" s="164">
        <f t="shared" si="5"/>
        <v>525.70346320346312</v>
      </c>
      <c r="K13" s="166">
        <f t="shared" si="5"/>
        <v>707.1000428143285</v>
      </c>
      <c r="L13" s="166" t="s">
        <v>14</v>
      </c>
      <c r="M13" s="164">
        <v>33031000</v>
      </c>
      <c r="N13" s="46" t="s">
        <v>14</v>
      </c>
      <c r="O13" s="46" t="s">
        <v>14</v>
      </c>
      <c r="P13" s="46" t="s">
        <v>14</v>
      </c>
      <c r="Q13" s="46" t="s">
        <v>14</v>
      </c>
      <c r="S13" s="46" t="s">
        <v>14</v>
      </c>
      <c r="T13" s="46" t="s">
        <v>14</v>
      </c>
      <c r="U13" s="46" t="s">
        <v>14</v>
      </c>
      <c r="V13" s="46" t="s">
        <v>14</v>
      </c>
      <c r="W13" s="46" t="s">
        <v>14</v>
      </c>
      <c r="X13" s="46" t="s">
        <v>14</v>
      </c>
      <c r="Y13" s="46" t="s">
        <v>14</v>
      </c>
      <c r="Z13" s="165">
        <f>184800*3.6</f>
        <v>665280</v>
      </c>
      <c r="AA13" s="46" t="s">
        <v>14</v>
      </c>
      <c r="AB13" s="46" t="s">
        <v>14</v>
      </c>
      <c r="AC13" s="46" t="s">
        <v>14</v>
      </c>
      <c r="AD13" s="46" t="s">
        <v>14</v>
      </c>
    </row>
    <row r="14" spans="1:31" x14ac:dyDescent="0.25">
      <c r="B14" s="46" t="s">
        <v>82</v>
      </c>
      <c r="C14" s="90" t="str">
        <f>_xlfn.XLOOKUP($B14,Technisch!$B$4:$B$49,Technisch!$C$4:$C$49)</f>
        <v>Literatur</v>
      </c>
      <c r="D14" s="34">
        <f>_xlfn.XLOOKUP($B14,Technisch!$B$4:$B$49,Technisch!$D$4:$D$49)</f>
        <v>2016</v>
      </c>
      <c r="E14" s="34">
        <v>2014</v>
      </c>
      <c r="F14" s="46" t="str">
        <f>_xlfn.XLOOKUP($B14,Technisch!$B$4:$B$49,Technisch!$H$4:$H$49)</f>
        <v>Medium</v>
      </c>
      <c r="G14" s="46">
        <f>_xlfn.XLOOKUP($B14,Technisch!$B$4:$B$49,Technisch!$Q$4:$Q$49)</f>
        <v>332</v>
      </c>
      <c r="H14" s="46">
        <f>_xlfn.XLOOKUP($B14,Technisch!$B$4:$B$49,Technisch!$Z$4:$Z$49)</f>
        <v>150</v>
      </c>
      <c r="I14" s="46" t="str">
        <f>_xlfn.XLOOKUP($B14,Technisch!$B$4:$B$49,Technisch!$AA$4:$AA$49)</f>
        <v>-</v>
      </c>
      <c r="J14" s="164">
        <f t="shared" si="5"/>
        <v>1310.2409638554218</v>
      </c>
      <c r="K14" s="166">
        <f t="shared" si="5"/>
        <v>2900</v>
      </c>
      <c r="L14" s="166" t="s">
        <v>14</v>
      </c>
      <c r="M14" s="164">
        <v>435000</v>
      </c>
      <c r="N14" s="46" t="s">
        <v>14</v>
      </c>
      <c r="O14" s="46" t="s">
        <v>14</v>
      </c>
      <c r="P14" s="46" t="s">
        <v>495</v>
      </c>
      <c r="Q14" s="46">
        <v>330000</v>
      </c>
      <c r="R14" s="168">
        <v>30000</v>
      </c>
      <c r="S14" s="46" t="s">
        <v>14</v>
      </c>
      <c r="T14" s="46" t="s">
        <v>14</v>
      </c>
      <c r="U14" s="46" t="s">
        <v>14</v>
      </c>
      <c r="V14" s="46" t="s">
        <v>56</v>
      </c>
      <c r="X14" s="46" t="s">
        <v>103</v>
      </c>
      <c r="Y14" s="46" t="s">
        <v>57</v>
      </c>
      <c r="Z14" s="165">
        <v>39075</v>
      </c>
      <c r="AA14" s="46">
        <v>16400</v>
      </c>
      <c r="AB14" s="46">
        <v>2175</v>
      </c>
      <c r="AC14" s="46">
        <v>9000</v>
      </c>
      <c r="AD14" s="46" t="s">
        <v>188</v>
      </c>
    </row>
    <row r="15" spans="1:31" x14ac:dyDescent="0.25">
      <c r="B15" s="46" t="s">
        <v>295</v>
      </c>
      <c r="C15" s="90" t="str">
        <f>_xlfn.XLOOKUP($B15,Technisch!$B$4:$B$49,Technisch!$C$4:$C$49)</f>
        <v>Literatur</v>
      </c>
      <c r="D15" s="34">
        <f>_xlfn.XLOOKUP($B15,Technisch!$B$4:$B$49,Technisch!$D$4:$D$49)</f>
        <v>2021</v>
      </c>
      <c r="E15" s="34">
        <v>2021</v>
      </c>
      <c r="F15" s="46" t="str">
        <f>_xlfn.XLOOKUP($B15,Technisch!$B$4:$B$49,Technisch!$H$4:$H$49)</f>
        <v>Large</v>
      </c>
      <c r="G15" s="46">
        <f>_xlfn.XLOOKUP($B15,Technisch!$B$4:$B$49,Technisch!$Q$4:$Q$49)</f>
        <v>597.33333333333337</v>
      </c>
      <c r="H15" s="46">
        <f>_xlfn.XLOOKUP($B15,Technisch!$B$4:$B$49,Technisch!$Z$4:$Z$49)</f>
        <v>600</v>
      </c>
      <c r="I15" s="46" t="str">
        <f>_xlfn.XLOOKUP($B15,Technisch!$B$4:$B$49,Technisch!$AA$4:$AA$49)</f>
        <v>-</v>
      </c>
      <c r="J15" s="164">
        <f t="shared" si="5"/>
        <v>3357.7566964285711</v>
      </c>
      <c r="K15" s="166">
        <f t="shared" si="5"/>
        <v>3342.8333333333335</v>
      </c>
      <c r="L15" s="166" t="s">
        <v>14</v>
      </c>
      <c r="M15" s="164">
        <v>2005700</v>
      </c>
      <c r="N15" s="46" t="s">
        <v>14</v>
      </c>
      <c r="O15" s="46" t="s">
        <v>14</v>
      </c>
      <c r="P15" s="46" t="s">
        <v>14</v>
      </c>
      <c r="Q15" s="46">
        <v>1540600</v>
      </c>
      <c r="S15" s="46" t="s">
        <v>14</v>
      </c>
      <c r="T15" s="46" t="s">
        <v>14</v>
      </c>
      <c r="U15" s="46" t="s">
        <v>60</v>
      </c>
      <c r="V15" s="46" t="s">
        <v>58</v>
      </c>
      <c r="X15" s="46" t="s">
        <v>59</v>
      </c>
      <c r="Y15" s="46" t="s">
        <v>14</v>
      </c>
      <c r="Z15" s="165">
        <v>169008</v>
      </c>
      <c r="AA15" s="46" t="s">
        <v>14</v>
      </c>
      <c r="AB15" s="46" t="s">
        <v>14</v>
      </c>
      <c r="AC15" s="46" t="s">
        <v>14</v>
      </c>
      <c r="AD15" s="46" t="s">
        <v>14</v>
      </c>
    </row>
    <row r="16" spans="1:31" x14ac:dyDescent="0.25">
      <c r="B16" s="46" t="s">
        <v>400</v>
      </c>
      <c r="C16" s="90" t="str">
        <f>_xlfn.XLOOKUP($B16,Technisch!$B$4:$B$49,Technisch!$C$4:$C$49)</f>
        <v>Literatur</v>
      </c>
      <c r="D16" s="34" t="str">
        <f>_xlfn.XLOOKUP($B16,Technisch!$B$4:$B$49,Technisch!$D$4:$D$49)</f>
        <v>2011 (2007)</v>
      </c>
      <c r="E16" s="34">
        <v>2007</v>
      </c>
      <c r="F16" s="46" t="str">
        <f>_xlfn.XLOOKUP($B16,Technisch!$B$4:$B$49,Technisch!$H$4:$H$49)</f>
        <v>Large</v>
      </c>
      <c r="G16" s="46">
        <f>_xlfn.XLOOKUP($B16,Technisch!$B$4:$B$49,Technisch!$Q$4:$Q$49)</f>
        <v>727</v>
      </c>
      <c r="H16" s="46" t="str">
        <f>_xlfn.XLOOKUP($B16,Technisch!$B$4:$B$49,Technisch!$Z$4:$Z$49)</f>
        <v>-</v>
      </c>
      <c r="I16" s="46" t="str">
        <f>_xlfn.XLOOKUP($B16,Technisch!$B$4:$B$49,Technisch!$AA$4:$AA$49)</f>
        <v>Commercial-in-confidence</v>
      </c>
      <c r="J16" s="164">
        <f>$M16/G16</f>
        <v>903.29436038514439</v>
      </c>
      <c r="K16" s="166" t="s">
        <v>14</v>
      </c>
      <c r="L16" s="166" t="s">
        <v>14</v>
      </c>
      <c r="M16" s="164">
        <v>656695</v>
      </c>
      <c r="N16" s="181" t="s">
        <v>421</v>
      </c>
      <c r="O16" s="181"/>
      <c r="P16" s="181"/>
      <c r="Q16" s="181"/>
      <c r="R16" s="181"/>
      <c r="S16" s="181"/>
      <c r="T16" s="181"/>
      <c r="U16" s="181"/>
      <c r="V16" s="181"/>
      <c r="W16" s="181"/>
      <c r="X16" s="181"/>
      <c r="Y16" s="182"/>
      <c r="Z16" s="165">
        <v>7296.6070777088653</v>
      </c>
      <c r="AA16" s="46" t="s">
        <v>14</v>
      </c>
      <c r="AB16" s="46" t="s">
        <v>14</v>
      </c>
      <c r="AC16" s="46" t="s">
        <v>14</v>
      </c>
      <c r="AD16" s="46" t="s">
        <v>14</v>
      </c>
      <c r="AE16" s="180" t="s">
        <v>199</v>
      </c>
    </row>
    <row r="17" spans="2:31" x14ac:dyDescent="0.25">
      <c r="B17" s="46" t="s">
        <v>401</v>
      </c>
      <c r="C17" s="90" t="str">
        <f>_xlfn.XLOOKUP($B17,Technisch!$B$4:$B$49,Technisch!$C$4:$C$49)</f>
        <v>Literatur</v>
      </c>
      <c r="D17" s="34" t="str">
        <f>_xlfn.XLOOKUP($B17,Technisch!$B$4:$B$49,Technisch!$D$4:$D$49)</f>
        <v>2011 (2007)</v>
      </c>
      <c r="E17" s="34">
        <v>2007</v>
      </c>
      <c r="F17" s="46" t="str">
        <f>_xlfn.XLOOKUP($B17,Technisch!$B$4:$B$49,Technisch!$H$4:$H$49)</f>
        <v>Industrial</v>
      </c>
      <c r="G17" s="46">
        <f>_xlfn.XLOOKUP($B17,Technisch!$B$4:$B$49,Technisch!$Q$4:$Q$49)</f>
        <v>5396</v>
      </c>
      <c r="H17" s="46" t="str">
        <f>_xlfn.XLOOKUP($B17,Technisch!$B$4:$B$49,Technisch!$Z$4:$Z$49)</f>
        <v>-</v>
      </c>
      <c r="I17" s="46" t="str">
        <f>_xlfn.XLOOKUP($B17,Technisch!$B$4:$B$49,Technisch!$AA$4:$AA$49)</f>
        <v>Commercial-in-confidence</v>
      </c>
      <c r="J17" s="164">
        <f>$M17/G17</f>
        <v>1081.7802075611564</v>
      </c>
      <c r="K17" s="166" t="s">
        <v>14</v>
      </c>
      <c r="L17" s="166" t="s">
        <v>14</v>
      </c>
      <c r="M17" s="164">
        <v>5837286</v>
      </c>
      <c r="N17" s="181" t="s">
        <v>421</v>
      </c>
      <c r="O17" s="181"/>
      <c r="P17" s="181"/>
      <c r="Q17" s="181"/>
      <c r="R17" s="181"/>
      <c r="S17" s="181"/>
      <c r="T17" s="181"/>
      <c r="U17" s="181"/>
      <c r="V17" s="181"/>
      <c r="W17" s="181"/>
      <c r="X17" s="181"/>
      <c r="Y17" s="182"/>
      <c r="Z17" s="165">
        <v>706311.5651222181</v>
      </c>
      <c r="AA17" s="46" t="s">
        <v>14</v>
      </c>
      <c r="AB17" s="46" t="s">
        <v>14</v>
      </c>
      <c r="AC17" s="46" t="s">
        <v>14</v>
      </c>
      <c r="AD17" s="46" t="s">
        <v>14</v>
      </c>
      <c r="AE17" s="180"/>
    </row>
    <row r="18" spans="2:31" x14ac:dyDescent="0.25">
      <c r="B18" s="46" t="s">
        <v>405</v>
      </c>
      <c r="C18" s="90" t="str">
        <f>_xlfn.XLOOKUP($B18,Technisch!$B$4:$B$49,Technisch!$C$4:$C$49)</f>
        <v>Literatur</v>
      </c>
      <c r="D18" s="34" t="str">
        <f>_xlfn.XLOOKUP($B18,Technisch!$B$4:$B$49,Technisch!$D$4:$D$49)</f>
        <v>2011 (2007)</v>
      </c>
      <c r="E18" s="34">
        <v>2007</v>
      </c>
      <c r="F18" s="46" t="str">
        <f>_xlfn.XLOOKUP($B18,Technisch!$B$4:$B$49,Technisch!$H$4:$H$49)</f>
        <v>Industrial</v>
      </c>
      <c r="G18" s="46">
        <f>_xlfn.XLOOKUP($B18,Technisch!$B$4:$B$49,Technisch!$Q$4:$Q$49)</f>
        <v>38202</v>
      </c>
      <c r="H18" s="46" t="str">
        <f>_xlfn.XLOOKUP($B18,Technisch!$B$4:$B$49,Technisch!$Z$4:$Z$49)</f>
        <v>-</v>
      </c>
      <c r="I18" s="46" t="str">
        <f>_xlfn.XLOOKUP($B18,Technisch!$B$4:$B$49,Technisch!$AA$4:$AA$49)</f>
        <v>Commercial-in-confidence</v>
      </c>
      <c r="J18" s="164">
        <f>$M18/G18</f>
        <v>787.87770273807655</v>
      </c>
      <c r="K18" s="166" t="s">
        <v>14</v>
      </c>
      <c r="L18" s="166" t="s">
        <v>14</v>
      </c>
      <c r="M18" s="164">
        <v>30098504</v>
      </c>
      <c r="N18" s="181" t="s">
        <v>421</v>
      </c>
      <c r="O18" s="181"/>
      <c r="P18" s="181"/>
      <c r="Q18" s="181"/>
      <c r="R18" s="181"/>
      <c r="S18" s="181"/>
      <c r="T18" s="181"/>
      <c r="U18" s="181"/>
      <c r="V18" s="181"/>
      <c r="W18" s="181"/>
      <c r="X18" s="181"/>
      <c r="Y18" s="182"/>
      <c r="Z18" s="165">
        <v>7317037.5775264502</v>
      </c>
      <c r="AA18" s="46" t="s">
        <v>14</v>
      </c>
      <c r="AB18" s="46" t="s">
        <v>14</v>
      </c>
      <c r="AC18" s="46" t="s">
        <v>14</v>
      </c>
      <c r="AD18" s="46" t="s">
        <v>14</v>
      </c>
      <c r="AE18" s="180"/>
    </row>
    <row r="19" spans="2:31" x14ac:dyDescent="0.25">
      <c r="B19" s="46" t="s">
        <v>63</v>
      </c>
      <c r="C19" s="90" t="str">
        <f>_xlfn.XLOOKUP($B19,Technisch!$B$4:$B$49,Technisch!$C$4:$C$49)</f>
        <v>Literatur</v>
      </c>
      <c r="D19" s="34">
        <f>_xlfn.XLOOKUP($B19,Technisch!$B$4:$B$49,Technisch!$D$4:$D$49)</f>
        <v>2023</v>
      </c>
      <c r="E19" s="34" t="s">
        <v>14</v>
      </c>
      <c r="F19" s="46" t="str">
        <f>_xlfn.XLOOKUP($B19,Technisch!$B$4:$B$49,Technisch!$H$4:$H$49)</f>
        <v>Micro</v>
      </c>
      <c r="G19" s="46">
        <f>_xlfn.XLOOKUP($B19,Technisch!$B$4:$B$49,Technisch!$Q$4:$Q$49)</f>
        <v>46.67</v>
      </c>
      <c r="H19" s="46">
        <f>_xlfn.XLOOKUP($B19,Technisch!$B$4:$B$49,Technisch!$Z$4:$Z$49)</f>
        <v>55</v>
      </c>
      <c r="I19" s="46" t="str">
        <f>_xlfn.XLOOKUP($B19,Technisch!$B$4:$B$49,Technisch!$AA$4:$AA$49)</f>
        <v>-</v>
      </c>
      <c r="J19" s="164">
        <f>$M19/G19</f>
        <v>3833.2976215984572</v>
      </c>
      <c r="K19" s="166">
        <f>$M19/H19</f>
        <v>3252.7272727272725</v>
      </c>
      <c r="L19" s="163" t="s">
        <v>14</v>
      </c>
      <c r="M19" s="164">
        <v>178900</v>
      </c>
      <c r="N19" s="46" t="s">
        <v>14</v>
      </c>
      <c r="O19" s="46" t="s">
        <v>14</v>
      </c>
      <c r="P19" s="46">
        <v>70000</v>
      </c>
      <c r="Q19" s="46">
        <v>108900</v>
      </c>
      <c r="S19" s="46" t="s">
        <v>14</v>
      </c>
      <c r="T19" s="46" t="s">
        <v>14</v>
      </c>
      <c r="U19" s="46" t="s">
        <v>14</v>
      </c>
      <c r="V19" s="46" t="s">
        <v>14</v>
      </c>
      <c r="W19" s="46" t="s">
        <v>14</v>
      </c>
      <c r="X19" s="46" t="s">
        <v>14</v>
      </c>
      <c r="Y19" s="46" t="s">
        <v>14</v>
      </c>
      <c r="Z19" s="165">
        <f>SUM(AA19:AC19)</f>
        <v>3985</v>
      </c>
      <c r="AA19" s="46" t="str">
        <f>0.02*M19 &amp; " (b)"</f>
        <v>3578 (b)</v>
      </c>
      <c r="AB19" s="46" t="s">
        <v>14</v>
      </c>
      <c r="AC19" s="46">
        <v>3985</v>
      </c>
      <c r="AD19" s="46" t="s">
        <v>14</v>
      </c>
      <c r="AE19" s="90" t="s">
        <v>198</v>
      </c>
    </row>
    <row r="20" spans="2:31" x14ac:dyDescent="0.25">
      <c r="B20" s="46" t="s">
        <v>105</v>
      </c>
      <c r="C20" s="90" t="str">
        <f>_xlfn.XLOOKUP($B20,Technisch!$B$4:$B$49,Technisch!$C$4:$C$49)</f>
        <v>Literatur</v>
      </c>
      <c r="D20" s="34">
        <f>_xlfn.XLOOKUP($B20,Technisch!$B$4:$B$49,Technisch!$D$4:$D$49)</f>
        <v>2020</v>
      </c>
      <c r="E20" s="34" t="s">
        <v>14</v>
      </c>
      <c r="F20" s="46" t="str">
        <f>_xlfn.XLOOKUP($B20,Technisch!$B$4:$B$49,Technisch!$H$4:$H$49)</f>
        <v>Industrial</v>
      </c>
      <c r="G20" s="46" t="str">
        <f>_xlfn.XLOOKUP($B20,Technisch!$B$4:$B$49,Technisch!$Q$4:$Q$49)</f>
        <v>6480 - 8880</v>
      </c>
      <c r="H20" s="46" t="str">
        <f>_xlfn.XLOOKUP($B20,Technisch!$B$4:$B$49,Technisch!$Z$4:$Z$49)</f>
        <v>-</v>
      </c>
      <c r="I20" s="46" t="str">
        <f>_xlfn.XLOOKUP($B20,Technisch!$B$4:$B$49,Technisch!$AA$4:$AA$49)</f>
        <v>1813-2100</v>
      </c>
      <c r="J20" s="164">
        <f>AVERAGE(M20/6480,M20/8880)</f>
        <v>1929.9299299299298</v>
      </c>
      <c r="K20" s="166" t="s">
        <v>14</v>
      </c>
      <c r="L20" s="166">
        <f>AVERAGE(M20/1813,M20/2100)</f>
        <v>7430.7225592939876</v>
      </c>
      <c r="M20" s="164">
        <v>14460000</v>
      </c>
      <c r="N20" s="46" t="s">
        <v>117</v>
      </c>
      <c r="P20" s="46" t="s">
        <v>114</v>
      </c>
      <c r="Q20" s="46" t="s">
        <v>14</v>
      </c>
      <c r="S20" s="46" t="s">
        <v>14</v>
      </c>
      <c r="T20" s="46" t="s">
        <v>14</v>
      </c>
      <c r="U20" s="46" t="s">
        <v>111</v>
      </c>
      <c r="V20" s="46" t="s">
        <v>14</v>
      </c>
      <c r="W20" s="46" t="s">
        <v>112</v>
      </c>
      <c r="X20" s="46" t="s">
        <v>113</v>
      </c>
      <c r="Y20" s="46" t="s">
        <v>14</v>
      </c>
      <c r="Z20" s="165">
        <f>867600+361500+1314816+1347200</f>
        <v>3891116</v>
      </c>
      <c r="AA20" s="46" t="s">
        <v>115</v>
      </c>
      <c r="AB20" s="46" t="s">
        <v>14</v>
      </c>
      <c r="AC20" s="46" t="s">
        <v>14</v>
      </c>
      <c r="AD20" s="46" t="s">
        <v>116</v>
      </c>
    </row>
    <row r="21" spans="2:31" x14ac:dyDescent="0.25">
      <c r="B21" s="46" t="s">
        <v>124</v>
      </c>
      <c r="C21" s="90" t="str">
        <f>_xlfn.XLOOKUP($B21,Technisch!$B$4:$B$49,Technisch!$C$4:$C$49)</f>
        <v>Literatur</v>
      </c>
      <c r="D21" s="34" t="str">
        <f>_xlfn.XLOOKUP($B21,Technisch!$B$4:$B$49,Technisch!$D$4:$D$49)</f>
        <v>2010 (2007)</v>
      </c>
      <c r="E21" s="34">
        <v>2007</v>
      </c>
      <c r="F21" s="46" t="str">
        <f>_xlfn.XLOOKUP($B21,Technisch!$B$4:$B$49,Technisch!$H$4:$H$49)</f>
        <v>Industrial</v>
      </c>
      <c r="G21" s="46" t="str">
        <f>_xlfn.XLOOKUP($B21,Technisch!$B$4:$B$49,Technisch!$Q$4:$Q$49)</f>
        <v>23040-23704</v>
      </c>
      <c r="H21" s="46" t="str">
        <f>_xlfn.XLOOKUP($B21,Technisch!$B$4:$B$49,Technisch!$Z$4:$Z$49)</f>
        <v>-</v>
      </c>
      <c r="I21" s="46" t="str">
        <f>_xlfn.XLOOKUP($B21,Technisch!$B$4:$B$49,Technisch!$AA$4:$AA$49)</f>
        <v>-</v>
      </c>
      <c r="J21" s="164">
        <f>AVERAGE(M21/23040,M21/23704)</f>
        <v>443.4055336197946</v>
      </c>
      <c r="K21" s="166" t="s">
        <v>14</v>
      </c>
      <c r="L21" s="163" t="s">
        <v>14</v>
      </c>
      <c r="M21" s="164">
        <v>10361183</v>
      </c>
      <c r="N21" s="46" t="s">
        <v>194</v>
      </c>
      <c r="P21" s="46" t="s">
        <v>195</v>
      </c>
      <c r="Q21" s="46" t="s">
        <v>14</v>
      </c>
      <c r="S21" s="46" t="s">
        <v>14</v>
      </c>
      <c r="T21" s="46" t="s">
        <v>14</v>
      </c>
      <c r="U21" s="46" t="s">
        <v>14</v>
      </c>
      <c r="V21" s="46" t="s">
        <v>14</v>
      </c>
      <c r="W21" s="46" t="s">
        <v>14</v>
      </c>
      <c r="X21" s="46" t="s">
        <v>14</v>
      </c>
      <c r="Y21" s="46" t="s">
        <v>14</v>
      </c>
      <c r="Z21" s="165">
        <v>1808683</v>
      </c>
      <c r="AA21" s="46" t="s">
        <v>133</v>
      </c>
      <c r="AB21" s="46" t="s">
        <v>14</v>
      </c>
      <c r="AC21" s="46" t="s">
        <v>14</v>
      </c>
      <c r="AD21" s="46" t="s">
        <v>134</v>
      </c>
      <c r="AE21" s="90" t="s">
        <v>200</v>
      </c>
    </row>
    <row r="22" spans="2:31" x14ac:dyDescent="0.25">
      <c r="B22" s="46" t="s">
        <v>245</v>
      </c>
      <c r="C22" s="90" t="str">
        <f>_xlfn.XLOOKUP($B22,Technisch!$B$4:$B$49,Technisch!$C$4:$C$49)</f>
        <v>Literatur</v>
      </c>
      <c r="D22" s="34">
        <f>_xlfn.XLOOKUP($B22,Technisch!$B$4:$B$49,Technisch!$D$4:$D$49)</f>
        <v>2022</v>
      </c>
      <c r="E22" s="34">
        <v>2022</v>
      </c>
      <c r="F22" s="46" t="str">
        <f>_xlfn.XLOOKUP($B22,Technisch!$B$4:$B$49,Technisch!$H$4:$H$49)</f>
        <v>Medium</v>
      </c>
      <c r="G22" s="46">
        <v>120</v>
      </c>
      <c r="H22" s="46">
        <f>_xlfn.XLOOKUP($B22,Technisch!$B$4:$B$49,Technisch!$Z$4:$Z$49)</f>
        <v>49</v>
      </c>
      <c r="I22" s="46" t="str">
        <f>_xlfn.XLOOKUP($B22,Technisch!$B$4:$B$49,Technisch!$AA$4:$AA$49)</f>
        <v>-</v>
      </c>
      <c r="J22" s="164">
        <f t="shared" ref="J22:K24" si="6">$M22/G22</f>
        <v>37443.508333333331</v>
      </c>
      <c r="K22" s="166">
        <f t="shared" si="6"/>
        <v>91698.387755102041</v>
      </c>
      <c r="L22" s="163" t="s">
        <v>14</v>
      </c>
      <c r="M22" s="164">
        <v>4493221</v>
      </c>
      <c r="N22" s="181" t="s">
        <v>252</v>
      </c>
      <c r="O22" s="181"/>
      <c r="P22" s="46" t="s">
        <v>249</v>
      </c>
      <c r="Q22" s="46" t="s">
        <v>250</v>
      </c>
      <c r="S22" s="181" t="s">
        <v>251</v>
      </c>
      <c r="T22" s="181"/>
      <c r="U22" s="181" t="s">
        <v>255</v>
      </c>
      <c r="V22" s="181"/>
      <c r="X22" s="46" t="s">
        <v>256</v>
      </c>
      <c r="Y22" s="46" t="s">
        <v>257</v>
      </c>
      <c r="AA22" s="46" t="s">
        <v>14</v>
      </c>
      <c r="AB22" s="46" t="s">
        <v>14</v>
      </c>
      <c r="AC22" s="46" t="s">
        <v>14</v>
      </c>
      <c r="AD22" s="46" t="s">
        <v>14</v>
      </c>
      <c r="AE22" s="90" t="s">
        <v>258</v>
      </c>
    </row>
    <row r="23" spans="2:31" x14ac:dyDescent="0.25">
      <c r="B23" s="46" t="s">
        <v>415</v>
      </c>
      <c r="C23" s="90" t="str">
        <f>_xlfn.XLOOKUP($B23,Technisch!$B$4:$B$49,Technisch!$C$4:$C$49)</f>
        <v>Literatur</v>
      </c>
      <c r="D23" s="34">
        <f>_xlfn.XLOOKUP($B23,Technisch!$B$4:$B$49,Technisch!$D$4:$D$49)</f>
        <v>2020</v>
      </c>
      <c r="E23" s="34">
        <v>2020</v>
      </c>
      <c r="F23" s="46" t="str">
        <f>_xlfn.XLOOKUP($B23,Technisch!$B$4:$B$49,Technisch!$H$4:$H$49)</f>
        <v>Large</v>
      </c>
      <c r="G23" s="46">
        <v>610</v>
      </c>
      <c r="H23" s="46">
        <f>_xlfn.XLOOKUP($B23,Technisch!$B$4:$B$49,Technisch!$Z$4:$Z$49)</f>
        <v>150</v>
      </c>
      <c r="I23" s="46" t="str">
        <f>_xlfn.XLOOKUP($B23,Technisch!$B$4:$B$49,Technisch!$AA$4:$AA$49)</f>
        <v>-</v>
      </c>
      <c r="J23" s="164">
        <f t="shared" si="6"/>
        <v>1311.4754098360656</v>
      </c>
      <c r="K23" s="166">
        <f t="shared" si="6"/>
        <v>5333.333333333333</v>
      </c>
      <c r="L23" s="163" t="s">
        <v>14</v>
      </c>
      <c r="M23" s="164">
        <f>750000+50000</f>
        <v>800000</v>
      </c>
      <c r="N23" s="46" t="s">
        <v>14</v>
      </c>
      <c r="O23" s="46" t="s">
        <v>14</v>
      </c>
      <c r="P23" s="46" t="s">
        <v>14</v>
      </c>
      <c r="Q23" s="46">
        <v>750000</v>
      </c>
      <c r="S23" s="46" t="s">
        <v>14</v>
      </c>
      <c r="T23" s="46" t="s">
        <v>14</v>
      </c>
      <c r="U23" s="46" t="s">
        <v>14</v>
      </c>
      <c r="V23" s="46" t="s">
        <v>14</v>
      </c>
      <c r="W23" s="46" t="s">
        <v>14</v>
      </c>
      <c r="X23" s="46" t="s">
        <v>14</v>
      </c>
      <c r="Y23" s="46" t="s">
        <v>425</v>
      </c>
      <c r="Z23" s="90" t="s">
        <v>422</v>
      </c>
      <c r="AA23" s="46" t="s">
        <v>426</v>
      </c>
      <c r="AB23" s="46" t="s">
        <v>14</v>
      </c>
      <c r="AC23" s="46" t="s">
        <v>14</v>
      </c>
      <c r="AD23" s="46" t="s">
        <v>14</v>
      </c>
      <c r="AE23" s="90" t="s">
        <v>353</v>
      </c>
    </row>
    <row r="24" spans="2:31" x14ac:dyDescent="0.25">
      <c r="B24" s="46" t="s">
        <v>416</v>
      </c>
      <c r="C24" s="90" t="str">
        <f>_xlfn.XLOOKUP($B24,Technisch!$B$4:$B$49,Technisch!$C$4:$C$49)</f>
        <v>Literatur</v>
      </c>
      <c r="D24" s="34">
        <f>_xlfn.XLOOKUP($B24,Technisch!$B$4:$B$49,Technisch!$D$4:$D$49)</f>
        <v>2020</v>
      </c>
      <c r="E24" s="34">
        <v>2020</v>
      </c>
      <c r="F24" s="46" t="str">
        <f>_xlfn.XLOOKUP($B24,Technisch!$B$4:$B$49,Technisch!$H$4:$H$49)</f>
        <v>Large</v>
      </c>
      <c r="G24" s="46">
        <v>1600</v>
      </c>
      <c r="H24" s="46">
        <f>_xlfn.XLOOKUP($B24,Technisch!$B$4:$B$49,Technisch!$Z$4:$Z$49)</f>
        <v>700</v>
      </c>
      <c r="I24" s="46" t="str">
        <f>_xlfn.XLOOKUP($B24,Technisch!$B$4:$B$49,Technisch!$AA$4:$AA$49)</f>
        <v>-</v>
      </c>
      <c r="J24" s="164">
        <f t="shared" si="6"/>
        <v>1171.875</v>
      </c>
      <c r="K24" s="166">
        <f t="shared" si="6"/>
        <v>2678.5714285714284</v>
      </c>
      <c r="L24" s="163" t="s">
        <v>14</v>
      </c>
      <c r="M24" s="164">
        <f>1800000+75000</f>
        <v>1875000</v>
      </c>
      <c r="N24" s="46" t="s">
        <v>14</v>
      </c>
      <c r="O24" s="46" t="s">
        <v>14</v>
      </c>
      <c r="P24" s="46" t="s">
        <v>14</v>
      </c>
      <c r="Q24" s="46">
        <v>1800000</v>
      </c>
      <c r="S24" s="46" t="s">
        <v>14</v>
      </c>
      <c r="T24" s="46" t="s">
        <v>14</v>
      </c>
      <c r="U24" s="46" t="s">
        <v>14</v>
      </c>
      <c r="V24" s="46" t="s">
        <v>14</v>
      </c>
      <c r="W24" s="46" t="s">
        <v>14</v>
      </c>
      <c r="X24" s="46" t="s">
        <v>14</v>
      </c>
      <c r="Y24" s="46" t="s">
        <v>424</v>
      </c>
      <c r="Z24" s="90" t="s">
        <v>423</v>
      </c>
      <c r="AA24" s="46" t="s">
        <v>427</v>
      </c>
      <c r="AB24" s="46" t="s">
        <v>14</v>
      </c>
      <c r="AC24" s="46" t="s">
        <v>14</v>
      </c>
      <c r="AD24" s="46" t="s">
        <v>14</v>
      </c>
    </row>
    <row r="25" spans="2:31" x14ac:dyDescent="0.25">
      <c r="S25" s="46" t="s">
        <v>14</v>
      </c>
      <c r="T25" s="46" t="s">
        <v>14</v>
      </c>
      <c r="U25" s="46" t="s">
        <v>14</v>
      </c>
      <c r="V25" s="46" t="s">
        <v>14</v>
      </c>
      <c r="W25" s="46" t="s">
        <v>14</v>
      </c>
      <c r="X25" s="46" t="s">
        <v>14</v>
      </c>
    </row>
  </sheetData>
  <mergeCells count="7">
    <mergeCell ref="AE16:AE18"/>
    <mergeCell ref="S22:T22"/>
    <mergeCell ref="U22:V22"/>
    <mergeCell ref="N22:O22"/>
    <mergeCell ref="N16:Y16"/>
    <mergeCell ref="N17:Y17"/>
    <mergeCell ref="N18:Y1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A6201-EDDE-4D29-9C9D-B2C9CB460295}">
  <sheetPr codeName="Tabelle5"/>
  <dimension ref="A1:N19"/>
  <sheetViews>
    <sheetView showGridLines="0" zoomScale="85" zoomScaleNormal="85" workbookViewId="0">
      <pane xSplit="2" ySplit="2" topLeftCell="C3" activePane="bottomRight" state="frozen"/>
      <selection pane="topRight" activeCell="C1" sqref="C1"/>
      <selection pane="bottomLeft" activeCell="A3" sqref="A3"/>
      <selection pane="bottomRight" activeCell="E4" sqref="E4"/>
    </sheetView>
  </sheetViews>
  <sheetFormatPr baseColWidth="10" defaultColWidth="0" defaultRowHeight="15" x14ac:dyDescent="0.25"/>
  <cols>
    <col min="1" max="1" width="11.42578125" style="96" customWidth="1"/>
    <col min="2" max="2" width="39.42578125" style="96" customWidth="1"/>
    <col min="3" max="3" width="14" style="96" customWidth="1"/>
    <col min="4" max="4" width="8" style="96" customWidth="1"/>
    <col min="5" max="5" width="35.7109375" style="96" bestFit="1" customWidth="1"/>
    <col min="6" max="6" width="14.85546875" style="96" customWidth="1"/>
    <col min="7" max="7" width="11.85546875" style="96" customWidth="1"/>
    <col min="8" max="8" width="13.7109375" style="96" customWidth="1"/>
    <col min="9" max="9" width="14.85546875" style="96" customWidth="1"/>
    <col min="10" max="10" width="16.5703125" style="96" customWidth="1"/>
    <col min="11" max="11" width="10.5703125" style="96" customWidth="1"/>
    <col min="12" max="12" width="12.140625" style="96" customWidth="1"/>
    <col min="13" max="13" width="26.85546875" style="96" customWidth="1"/>
    <col min="14" max="14" width="71.42578125" style="96" customWidth="1"/>
    <col min="15" max="16384" width="11.42578125" style="96" hidden="1"/>
  </cols>
  <sheetData>
    <row r="1" spans="1:14" s="36" customFormat="1" ht="32.25" customHeight="1" x14ac:dyDescent="0.25">
      <c r="B1" s="26" t="s">
        <v>0</v>
      </c>
      <c r="C1" s="26" t="s">
        <v>1</v>
      </c>
      <c r="D1" s="26" t="s">
        <v>2</v>
      </c>
      <c r="E1" s="26" t="s">
        <v>16</v>
      </c>
      <c r="F1" s="26" t="s">
        <v>6</v>
      </c>
      <c r="G1" s="113" t="s">
        <v>363</v>
      </c>
      <c r="H1" s="26" t="s">
        <v>508</v>
      </c>
      <c r="I1" s="26" t="s">
        <v>509</v>
      </c>
      <c r="J1" s="114" t="s">
        <v>364</v>
      </c>
      <c r="K1" s="114" t="s">
        <v>441</v>
      </c>
      <c r="L1" s="114" t="s">
        <v>366</v>
      </c>
      <c r="M1" s="114" t="s">
        <v>18</v>
      </c>
      <c r="N1" s="114" t="s">
        <v>19</v>
      </c>
    </row>
    <row r="2" spans="1:14" s="112" customFormat="1" x14ac:dyDescent="0.25">
      <c r="A2" s="38" t="s">
        <v>9</v>
      </c>
      <c r="B2" s="110"/>
      <c r="C2" s="97"/>
      <c r="D2" s="97"/>
      <c r="E2" s="97"/>
      <c r="F2" s="97"/>
      <c r="G2" s="101" t="s">
        <v>66</v>
      </c>
      <c r="H2" s="97"/>
      <c r="I2" s="97"/>
      <c r="J2" s="111" t="s">
        <v>340</v>
      </c>
      <c r="K2" s="111" t="s">
        <v>66</v>
      </c>
      <c r="L2" s="111" t="s">
        <v>66</v>
      </c>
      <c r="M2" s="111"/>
      <c r="N2" s="111"/>
    </row>
    <row r="3" spans="1:14" s="36" customFormat="1" x14ac:dyDescent="0.25">
      <c r="A3" s="174"/>
      <c r="B3" s="173" t="s">
        <v>507</v>
      </c>
      <c r="C3" s="174" t="s">
        <v>135</v>
      </c>
      <c r="D3" s="174" t="s">
        <v>136</v>
      </c>
      <c r="E3" s="176" t="s">
        <v>511</v>
      </c>
      <c r="F3" s="74" t="s">
        <v>29</v>
      </c>
      <c r="G3" s="174">
        <v>25</v>
      </c>
      <c r="H3" s="175" t="s">
        <v>512</v>
      </c>
      <c r="I3" s="175" t="s">
        <v>513</v>
      </c>
      <c r="J3" s="174">
        <v>1</v>
      </c>
      <c r="K3" s="174">
        <v>60</v>
      </c>
      <c r="L3" s="74">
        <v>80</v>
      </c>
      <c r="M3" s="174" t="s">
        <v>14</v>
      </c>
      <c r="N3" s="174"/>
    </row>
    <row r="4" spans="1:14" s="36" customFormat="1" x14ac:dyDescent="0.25">
      <c r="A4" s="174"/>
      <c r="B4" s="173" t="s">
        <v>506</v>
      </c>
      <c r="C4" s="174" t="s">
        <v>135</v>
      </c>
      <c r="D4" s="174" t="s">
        <v>136</v>
      </c>
      <c r="E4" s="176" t="s">
        <v>510</v>
      </c>
      <c r="F4" s="74" t="s">
        <v>33</v>
      </c>
      <c r="G4" s="174">
        <v>40</v>
      </c>
      <c r="H4" s="177" t="s">
        <v>514</v>
      </c>
      <c r="I4" s="175" t="s">
        <v>14</v>
      </c>
      <c r="J4" s="174">
        <v>1</v>
      </c>
      <c r="K4" s="174">
        <v>25</v>
      </c>
      <c r="L4" s="74">
        <v>80</v>
      </c>
      <c r="M4" s="174" t="s">
        <v>14</v>
      </c>
      <c r="N4" s="174"/>
    </row>
    <row r="5" spans="1:14" s="102" customFormat="1" x14ac:dyDescent="0.25">
      <c r="A5" s="109"/>
      <c r="B5" s="132" t="s">
        <v>292</v>
      </c>
      <c r="C5" s="109" t="s">
        <v>20</v>
      </c>
      <c r="D5" s="109">
        <v>2019</v>
      </c>
      <c r="E5" s="133" t="s">
        <v>236</v>
      </c>
      <c r="F5" s="109" t="s">
        <v>215</v>
      </c>
      <c r="G5" s="109">
        <v>48.8</v>
      </c>
      <c r="H5" s="133" t="s">
        <v>239</v>
      </c>
      <c r="I5" s="133" t="s">
        <v>237</v>
      </c>
      <c r="J5" s="109">
        <v>30</v>
      </c>
      <c r="K5" s="109">
        <v>75</v>
      </c>
      <c r="L5" s="109">
        <v>80</v>
      </c>
      <c r="M5" s="109" t="s">
        <v>41</v>
      </c>
      <c r="N5" s="109" t="s">
        <v>42</v>
      </c>
    </row>
    <row r="6" spans="1:14" s="102" customFormat="1" x14ac:dyDescent="0.25">
      <c r="A6" s="109"/>
      <c r="B6" s="132" t="s">
        <v>279</v>
      </c>
      <c r="C6" s="109" t="s">
        <v>20</v>
      </c>
      <c r="D6" s="109">
        <v>2011</v>
      </c>
      <c r="E6" s="133" t="s">
        <v>14</v>
      </c>
      <c r="F6" s="109" t="s">
        <v>45</v>
      </c>
      <c r="G6" s="109">
        <v>25</v>
      </c>
      <c r="H6" s="133" t="s">
        <v>14</v>
      </c>
      <c r="I6" s="133" t="s">
        <v>312</v>
      </c>
      <c r="J6" s="109">
        <v>30</v>
      </c>
      <c r="K6" s="133" t="s">
        <v>40</v>
      </c>
      <c r="L6" s="109">
        <v>68</v>
      </c>
      <c r="M6" s="109" t="s">
        <v>44</v>
      </c>
      <c r="N6" s="109" t="s">
        <v>43</v>
      </c>
    </row>
    <row r="7" spans="1:14" s="102" customFormat="1" x14ac:dyDescent="0.25">
      <c r="A7" s="109"/>
      <c r="B7" s="132" t="s">
        <v>278</v>
      </c>
      <c r="C7" s="109" t="s">
        <v>20</v>
      </c>
      <c r="D7" s="109">
        <v>2019</v>
      </c>
      <c r="E7" s="133" t="s">
        <v>314</v>
      </c>
      <c r="F7" s="109" t="s">
        <v>34</v>
      </c>
      <c r="G7" s="109">
        <v>33</v>
      </c>
      <c r="H7" s="133" t="s">
        <v>14</v>
      </c>
      <c r="I7" s="133" t="s">
        <v>14</v>
      </c>
      <c r="J7" s="109" t="s">
        <v>14</v>
      </c>
      <c r="K7" s="109">
        <v>19.510000000000002</v>
      </c>
      <c r="L7" s="109" t="s">
        <v>14</v>
      </c>
      <c r="M7" s="109" t="s">
        <v>14</v>
      </c>
      <c r="N7" s="109" t="s">
        <v>46</v>
      </c>
    </row>
    <row r="8" spans="1:14" s="102" customFormat="1" x14ac:dyDescent="0.25">
      <c r="A8" s="109"/>
      <c r="B8" s="132" t="s">
        <v>277</v>
      </c>
      <c r="C8" s="109" t="s">
        <v>20</v>
      </c>
      <c r="D8" s="109">
        <v>2011</v>
      </c>
      <c r="E8" s="133" t="s">
        <v>14</v>
      </c>
      <c r="F8" s="109" t="s">
        <v>33</v>
      </c>
      <c r="G8" s="109">
        <v>35</v>
      </c>
      <c r="H8" s="133" t="s">
        <v>14</v>
      </c>
      <c r="I8" s="133" t="s">
        <v>316</v>
      </c>
      <c r="J8" s="109">
        <v>30</v>
      </c>
      <c r="K8" s="109">
        <v>85</v>
      </c>
      <c r="L8" s="109">
        <v>68</v>
      </c>
      <c r="M8" s="109" t="s">
        <v>327</v>
      </c>
      <c r="N8" s="134" t="s">
        <v>319</v>
      </c>
    </row>
    <row r="9" spans="1:14" s="102" customFormat="1" x14ac:dyDescent="0.25">
      <c r="A9" s="109"/>
      <c r="B9" s="132" t="s">
        <v>276</v>
      </c>
      <c r="C9" s="109" t="s">
        <v>20</v>
      </c>
      <c r="D9" s="109">
        <v>2021</v>
      </c>
      <c r="E9" s="133" t="s">
        <v>216</v>
      </c>
      <c r="F9" s="109" t="s">
        <v>35</v>
      </c>
      <c r="G9" s="109">
        <v>32.4</v>
      </c>
      <c r="H9" s="133" t="s">
        <v>14</v>
      </c>
      <c r="I9" s="133" t="s">
        <v>317</v>
      </c>
      <c r="J9" s="109">
        <v>4.2</v>
      </c>
      <c r="K9" s="109">
        <v>20</v>
      </c>
      <c r="L9" s="109" t="s">
        <v>14</v>
      </c>
      <c r="M9" s="109" t="s">
        <v>328</v>
      </c>
      <c r="N9" s="109" t="s">
        <v>320</v>
      </c>
    </row>
    <row r="10" spans="1:14" s="102" customFormat="1" x14ac:dyDescent="0.25">
      <c r="A10" s="109"/>
      <c r="B10" s="132" t="s">
        <v>275</v>
      </c>
      <c r="C10" s="109" t="s">
        <v>20</v>
      </c>
      <c r="D10" s="109">
        <v>2021</v>
      </c>
      <c r="E10" s="133" t="s">
        <v>315</v>
      </c>
      <c r="F10" s="109" t="s">
        <v>36</v>
      </c>
      <c r="G10" s="109">
        <v>35</v>
      </c>
      <c r="H10" s="133" t="s">
        <v>14</v>
      </c>
      <c r="I10" s="133" t="s">
        <v>318</v>
      </c>
      <c r="J10" s="109">
        <v>25</v>
      </c>
      <c r="K10" s="109">
        <v>72</v>
      </c>
      <c r="L10" s="109">
        <v>68</v>
      </c>
      <c r="M10" s="109" t="s">
        <v>14</v>
      </c>
      <c r="N10" s="134" t="s">
        <v>47</v>
      </c>
    </row>
    <row r="11" spans="1:14" s="102" customFormat="1" x14ac:dyDescent="0.25">
      <c r="A11" s="109"/>
      <c r="B11" s="132" t="s">
        <v>274</v>
      </c>
      <c r="C11" s="109" t="s">
        <v>20</v>
      </c>
      <c r="D11" s="109">
        <v>2017</v>
      </c>
      <c r="E11" s="133" t="s">
        <v>324</v>
      </c>
      <c r="F11" s="109" t="s">
        <v>37</v>
      </c>
      <c r="G11" s="109">
        <v>40</v>
      </c>
      <c r="H11" s="133" t="s">
        <v>14</v>
      </c>
      <c r="I11" s="133" t="s">
        <v>14</v>
      </c>
      <c r="J11" s="109" t="s">
        <v>14</v>
      </c>
      <c r="K11" s="109" t="s">
        <v>14</v>
      </c>
      <c r="L11" s="109">
        <v>80</v>
      </c>
      <c r="M11" s="109" t="s">
        <v>14</v>
      </c>
      <c r="N11" s="134" t="s">
        <v>219</v>
      </c>
    </row>
    <row r="12" spans="1:14" s="102" customFormat="1" x14ac:dyDescent="0.25">
      <c r="A12" s="109"/>
      <c r="B12" s="132" t="s">
        <v>273</v>
      </c>
      <c r="C12" s="109" t="s">
        <v>20</v>
      </c>
      <c r="D12" s="109">
        <v>2019</v>
      </c>
      <c r="E12" s="133" t="s">
        <v>14</v>
      </c>
      <c r="F12" s="109" t="s">
        <v>38</v>
      </c>
      <c r="G12" s="109">
        <v>35</v>
      </c>
      <c r="H12" s="133" t="s">
        <v>220</v>
      </c>
      <c r="I12" s="133" t="s">
        <v>14</v>
      </c>
      <c r="J12" s="109">
        <v>5</v>
      </c>
      <c r="K12" s="109">
        <v>50</v>
      </c>
      <c r="L12" s="109">
        <v>80</v>
      </c>
      <c r="M12" s="109" t="s">
        <v>238</v>
      </c>
      <c r="N12" s="134" t="s">
        <v>329</v>
      </c>
    </row>
    <row r="13" spans="1:14" s="102" customFormat="1" x14ac:dyDescent="0.25">
      <c r="A13" s="109"/>
      <c r="B13" s="132" t="s">
        <v>272</v>
      </c>
      <c r="C13" s="109" t="s">
        <v>20</v>
      </c>
      <c r="D13" s="109">
        <v>2020</v>
      </c>
      <c r="E13" s="133" t="s">
        <v>217</v>
      </c>
      <c r="F13" s="109" t="s">
        <v>30</v>
      </c>
      <c r="G13" s="109">
        <v>16</v>
      </c>
      <c r="H13" s="133" t="s">
        <v>14</v>
      </c>
      <c r="I13" s="133" t="s">
        <v>14</v>
      </c>
      <c r="J13" s="109" t="s">
        <v>14</v>
      </c>
      <c r="K13" s="109">
        <v>79</v>
      </c>
      <c r="L13" s="109" t="s">
        <v>14</v>
      </c>
      <c r="M13" s="109" t="s">
        <v>14</v>
      </c>
      <c r="N13" s="134" t="s">
        <v>218</v>
      </c>
    </row>
    <row r="14" spans="1:14" s="102" customFormat="1" x14ac:dyDescent="0.25">
      <c r="A14" s="109"/>
      <c r="B14" s="132" t="s">
        <v>271</v>
      </c>
      <c r="C14" s="109" t="s">
        <v>20</v>
      </c>
      <c r="D14" s="109">
        <v>2019</v>
      </c>
      <c r="E14" s="133" t="s">
        <v>14</v>
      </c>
      <c r="F14" s="109" t="s">
        <v>39</v>
      </c>
      <c r="G14" s="109">
        <v>36</v>
      </c>
      <c r="H14" s="133" t="s">
        <v>14</v>
      </c>
      <c r="I14" s="133" t="s">
        <v>222</v>
      </c>
      <c r="J14" s="109">
        <v>1</v>
      </c>
      <c r="K14" s="109">
        <v>63</v>
      </c>
      <c r="L14" s="109">
        <v>85.1</v>
      </c>
      <c r="M14" s="109" t="s">
        <v>326</v>
      </c>
      <c r="N14" s="109" t="s">
        <v>223</v>
      </c>
    </row>
    <row r="15" spans="1:14" s="102" customFormat="1" x14ac:dyDescent="0.25">
      <c r="A15" s="109"/>
      <c r="B15" s="132" t="s">
        <v>293</v>
      </c>
      <c r="C15" s="109" t="s">
        <v>20</v>
      </c>
      <c r="D15" s="109">
        <v>2016</v>
      </c>
      <c r="E15" s="133" t="s">
        <v>70</v>
      </c>
      <c r="F15" s="109" t="s">
        <v>29</v>
      </c>
      <c r="G15" s="109">
        <v>44</v>
      </c>
      <c r="H15" s="133" t="s">
        <v>212</v>
      </c>
      <c r="I15" s="133" t="s">
        <v>14</v>
      </c>
      <c r="J15" s="109">
        <v>20</v>
      </c>
      <c r="K15" s="109">
        <v>60</v>
      </c>
      <c r="L15" s="109">
        <v>90</v>
      </c>
      <c r="M15" s="109" t="s">
        <v>213</v>
      </c>
      <c r="N15" s="109" t="s">
        <v>214</v>
      </c>
    </row>
    <row r="16" spans="1:14" s="102" customFormat="1" x14ac:dyDescent="0.25">
      <c r="A16" s="109"/>
      <c r="B16" s="132" t="s">
        <v>293</v>
      </c>
      <c r="C16" s="109" t="s">
        <v>20</v>
      </c>
      <c r="D16" s="109">
        <v>2016</v>
      </c>
      <c r="E16" s="133" t="s">
        <v>70</v>
      </c>
      <c r="F16" s="109" t="s">
        <v>33</v>
      </c>
      <c r="G16" s="109">
        <v>76</v>
      </c>
      <c r="H16" s="133" t="s">
        <v>212</v>
      </c>
      <c r="I16" s="133" t="s">
        <v>14</v>
      </c>
      <c r="J16" s="109">
        <v>20</v>
      </c>
      <c r="K16" s="109">
        <v>60</v>
      </c>
      <c r="L16" s="109">
        <v>90</v>
      </c>
      <c r="M16" s="109" t="s">
        <v>213</v>
      </c>
      <c r="N16" s="109" t="s">
        <v>214</v>
      </c>
    </row>
    <row r="17" spans="1:14" s="103" customFormat="1" x14ac:dyDescent="0.25">
      <c r="A17" s="135"/>
      <c r="B17" s="132" t="s">
        <v>321</v>
      </c>
      <c r="C17" s="109" t="s">
        <v>20</v>
      </c>
      <c r="D17" s="109">
        <v>2022</v>
      </c>
      <c r="E17" s="133" t="s">
        <v>323</v>
      </c>
      <c r="F17" s="109" t="s">
        <v>33</v>
      </c>
      <c r="G17" s="109">
        <v>40</v>
      </c>
      <c r="H17" s="133" t="s">
        <v>322</v>
      </c>
      <c r="I17" s="133" t="s">
        <v>14</v>
      </c>
      <c r="J17" s="109" t="s">
        <v>14</v>
      </c>
      <c r="K17" s="109">
        <v>25</v>
      </c>
      <c r="L17" s="109" t="s">
        <v>14</v>
      </c>
      <c r="M17" s="109" t="s">
        <v>14</v>
      </c>
      <c r="N17" s="109" t="s">
        <v>14</v>
      </c>
    </row>
    <row r="18" spans="1:14" s="102" customFormat="1" x14ac:dyDescent="0.25">
      <c r="A18" s="109"/>
      <c r="B18" s="109" t="s">
        <v>359</v>
      </c>
      <c r="C18" s="109" t="s">
        <v>244</v>
      </c>
      <c r="D18" s="109">
        <v>2021</v>
      </c>
      <c r="E18" s="133" t="s">
        <v>242</v>
      </c>
      <c r="F18" s="109" t="s">
        <v>33</v>
      </c>
      <c r="G18" s="109">
        <v>56</v>
      </c>
      <c r="H18" s="133" t="s">
        <v>243</v>
      </c>
      <c r="I18" s="133" t="s">
        <v>14</v>
      </c>
      <c r="J18" s="109" t="s">
        <v>14</v>
      </c>
      <c r="K18" s="109">
        <v>26</v>
      </c>
      <c r="L18" s="109">
        <v>80</v>
      </c>
      <c r="M18" s="109" t="s">
        <v>14</v>
      </c>
      <c r="N18" s="109" t="s">
        <v>14</v>
      </c>
    </row>
    <row r="19" spans="1:14" x14ac:dyDescent="0.25">
      <c r="A19" s="109"/>
      <c r="B19" s="109"/>
      <c r="C19" s="109"/>
      <c r="D19" s="109"/>
      <c r="E19" s="109"/>
      <c r="F19" s="109"/>
      <c r="G19" s="109"/>
      <c r="H19" s="109"/>
      <c r="I19" s="109"/>
      <c r="J19" s="109"/>
      <c r="K19" s="109"/>
      <c r="L19" s="109"/>
      <c r="M19" s="109"/>
      <c r="N19" s="109"/>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B412-A6BB-4BE3-B55F-0802AC2E391C}">
  <sheetPr codeName="Tabelle6"/>
  <dimension ref="A1:K20"/>
  <sheetViews>
    <sheetView showGridLines="0" zoomScale="85" zoomScaleNormal="85" workbookViewId="0">
      <selection activeCell="E7" sqref="E7"/>
    </sheetView>
  </sheetViews>
  <sheetFormatPr baseColWidth="10" defaultColWidth="0" defaultRowHeight="12.75" zeroHeight="1" x14ac:dyDescent="0.2"/>
  <cols>
    <col min="1" max="2" width="28.28515625" style="25" customWidth="1"/>
    <col min="3" max="3" width="21.85546875" style="25" customWidth="1"/>
    <col min="4" max="4" width="21.7109375" style="25" customWidth="1"/>
    <col min="5" max="5" width="21.5703125" style="25" customWidth="1"/>
    <col min="6" max="6" width="113.5703125" style="25" customWidth="1"/>
    <col min="7" max="9" width="14.5703125" style="25" hidden="1" customWidth="1"/>
    <col min="10" max="16384" width="11.42578125" style="25" hidden="1"/>
  </cols>
  <sheetData>
    <row r="1" spans="1:8" s="38" customFormat="1" ht="15" x14ac:dyDescent="0.25">
      <c r="A1" s="38" t="s">
        <v>471</v>
      </c>
      <c r="B1" s="65" t="s">
        <v>9</v>
      </c>
      <c r="F1" s="38" t="s">
        <v>31</v>
      </c>
    </row>
    <row r="2" spans="1:8" s="36" customFormat="1" ht="15" x14ac:dyDescent="0.25">
      <c r="A2" t="s">
        <v>469</v>
      </c>
      <c r="B2" s="131"/>
      <c r="C2" t="s">
        <v>502</v>
      </c>
      <c r="D2" t="s">
        <v>501</v>
      </c>
      <c r="E2" t="s">
        <v>503</v>
      </c>
      <c r="F2"/>
    </row>
    <row r="3" spans="1:8" s="24" customFormat="1" ht="15" x14ac:dyDescent="0.25">
      <c r="A3" s="94" t="s">
        <v>360</v>
      </c>
      <c r="B3" s="115" t="s">
        <v>260</v>
      </c>
      <c r="C3" s="66">
        <v>8000</v>
      </c>
      <c r="D3" s="66">
        <v>8000</v>
      </c>
      <c r="E3" s="66">
        <v>8000</v>
      </c>
      <c r="F3" s="116"/>
    </row>
    <row r="4" spans="1:8" s="24" customFormat="1" ht="15" x14ac:dyDescent="0.25">
      <c r="A4" s="94" t="s">
        <v>361</v>
      </c>
      <c r="B4" s="117" t="s">
        <v>372</v>
      </c>
      <c r="C4" s="66">
        <v>95</v>
      </c>
      <c r="D4" s="66">
        <v>200</v>
      </c>
      <c r="E4" s="66">
        <v>800</v>
      </c>
      <c r="F4" s="116"/>
      <c r="G4" s="68"/>
      <c r="H4" s="68"/>
    </row>
    <row r="5" spans="1:8" s="24" customFormat="1" ht="15" x14ac:dyDescent="0.25">
      <c r="A5" s="94" t="s">
        <v>362</v>
      </c>
      <c r="B5" s="118" t="s">
        <v>138</v>
      </c>
      <c r="C5" s="66">
        <v>12</v>
      </c>
      <c r="D5" s="66">
        <v>12</v>
      </c>
      <c r="E5" s="66">
        <v>80</v>
      </c>
      <c r="F5" s="116"/>
      <c r="G5" s="69"/>
      <c r="H5" s="69"/>
    </row>
    <row r="6" spans="1:8" s="24" customFormat="1" ht="15" x14ac:dyDescent="0.25">
      <c r="A6" s="129" t="s">
        <v>336</v>
      </c>
      <c r="B6" s="117" t="s">
        <v>137</v>
      </c>
      <c r="C6" s="66">
        <v>160</v>
      </c>
      <c r="D6" s="66">
        <v>400</v>
      </c>
      <c r="E6" s="66">
        <v>1200</v>
      </c>
      <c r="F6" s="116" t="s">
        <v>477</v>
      </c>
      <c r="G6" s="69"/>
      <c r="H6" s="69"/>
    </row>
    <row r="7" spans="1:8" s="24" customFormat="1" ht="15" x14ac:dyDescent="0.25">
      <c r="A7" s="130" t="s">
        <v>8</v>
      </c>
      <c r="B7" s="117" t="s">
        <v>138</v>
      </c>
      <c r="C7" s="66">
        <v>0</v>
      </c>
      <c r="D7" s="66">
        <v>0</v>
      </c>
      <c r="E7" s="66">
        <v>220</v>
      </c>
      <c r="F7" s="116" t="s">
        <v>477</v>
      </c>
    </row>
    <row r="8" spans="1:8" s="24" customFormat="1" ht="30" x14ac:dyDescent="0.25">
      <c r="A8" s="120" t="s">
        <v>472</v>
      </c>
      <c r="B8" s="115" t="s">
        <v>420</v>
      </c>
      <c r="C8" s="171">
        <v>2925</v>
      </c>
      <c r="D8" s="172">
        <v>2332.5</v>
      </c>
      <c r="E8" s="172">
        <v>4400</v>
      </c>
      <c r="F8" s="67" t="s">
        <v>504</v>
      </c>
      <c r="G8" s="72"/>
      <c r="H8" s="72"/>
    </row>
    <row r="9" spans="1:8" s="24" customFormat="1" ht="15" x14ac:dyDescent="0.25">
      <c r="A9" s="120" t="s">
        <v>357</v>
      </c>
      <c r="B9" s="115" t="s">
        <v>66</v>
      </c>
      <c r="C9" s="183" t="s">
        <v>478</v>
      </c>
      <c r="D9" s="183"/>
      <c r="E9" s="183"/>
      <c r="F9" s="116"/>
      <c r="G9" s="72"/>
      <c r="H9" s="72"/>
    </row>
    <row r="10" spans="1:8" s="24" customFormat="1" ht="15" x14ac:dyDescent="0.25">
      <c r="A10" s="120"/>
      <c r="B10" s="115"/>
      <c r="C10" s="73"/>
      <c r="D10" s="73"/>
      <c r="E10" s="73"/>
      <c r="F10" s="98"/>
      <c r="G10" s="72"/>
      <c r="H10" s="72"/>
    </row>
    <row r="11" spans="1:8" s="24" customFormat="1" ht="15" x14ac:dyDescent="0.25">
      <c r="A11" s="38" t="s">
        <v>468</v>
      </c>
      <c r="B11" s="65" t="s">
        <v>9</v>
      </c>
      <c r="C11" s="38"/>
      <c r="D11" s="38"/>
      <c r="E11" s="38"/>
      <c r="F11" s="38" t="s">
        <v>31</v>
      </c>
      <c r="G11" s="72"/>
      <c r="H11" s="72"/>
    </row>
    <row r="12" spans="1:8" customFormat="1" ht="15" x14ac:dyDescent="0.25">
      <c r="A12" t="s">
        <v>6</v>
      </c>
      <c r="B12" s="131"/>
      <c r="C12" t="s">
        <v>30</v>
      </c>
      <c r="D12" t="s">
        <v>475</v>
      </c>
      <c r="E12" t="s">
        <v>476</v>
      </c>
      <c r="F12" t="s">
        <v>485</v>
      </c>
    </row>
    <row r="13" spans="1:8" s="24" customFormat="1" ht="15" x14ac:dyDescent="0.25">
      <c r="A13" s="94" t="s">
        <v>473</v>
      </c>
      <c r="B13" s="119" t="s">
        <v>66</v>
      </c>
      <c r="C13" s="127">
        <v>0.25</v>
      </c>
      <c r="D13" s="127">
        <v>0.25</v>
      </c>
      <c r="E13" s="127">
        <v>0.4</v>
      </c>
      <c r="F13" s="116"/>
      <c r="G13" s="72"/>
      <c r="H13" s="72"/>
    </row>
    <row r="14" spans="1:8" s="24" customFormat="1" ht="15" x14ac:dyDescent="0.25">
      <c r="A14" s="120" t="s">
        <v>365</v>
      </c>
      <c r="B14" s="115" t="s">
        <v>66</v>
      </c>
      <c r="C14" s="66">
        <v>80</v>
      </c>
      <c r="D14" s="66">
        <v>60</v>
      </c>
      <c r="E14" s="66">
        <v>25</v>
      </c>
      <c r="F14" s="98"/>
      <c r="G14" s="72"/>
      <c r="H14" s="72"/>
    </row>
    <row r="15" spans="1:8" s="24" customFormat="1" ht="15" x14ac:dyDescent="0.25">
      <c r="A15" s="120"/>
      <c r="B15" s="115"/>
      <c r="C15" s="73"/>
      <c r="D15" s="73"/>
      <c r="E15" s="73"/>
      <c r="F15" s="98"/>
      <c r="G15" s="72"/>
      <c r="H15" s="72"/>
    </row>
    <row r="16" spans="1:8" s="70" customFormat="1" ht="15" x14ac:dyDescent="0.25">
      <c r="A16" s="38" t="s">
        <v>470</v>
      </c>
      <c r="B16" s="65" t="s">
        <v>9</v>
      </c>
      <c r="C16" s="38"/>
      <c r="D16" s="38"/>
      <c r="E16" s="38"/>
      <c r="F16" s="38" t="s">
        <v>31</v>
      </c>
      <c r="G16" s="71"/>
      <c r="H16" s="71"/>
    </row>
    <row r="17" spans="1:11" s="24" customFormat="1" ht="15" x14ac:dyDescent="0.25">
      <c r="A17" s="94" t="s">
        <v>364</v>
      </c>
      <c r="B17" s="115" t="s">
        <v>340</v>
      </c>
      <c r="C17" s="66">
        <v>1</v>
      </c>
      <c r="D17" s="66">
        <v>1</v>
      </c>
      <c r="E17" s="66">
        <v>1</v>
      </c>
      <c r="F17" s="98"/>
      <c r="G17" s="72"/>
      <c r="H17" s="72"/>
    </row>
    <row r="18" spans="1:11" s="24" customFormat="1" ht="15" x14ac:dyDescent="0.25">
      <c r="A18" s="120" t="s">
        <v>366</v>
      </c>
      <c r="B18" s="115" t="s">
        <v>66</v>
      </c>
      <c r="C18" s="66">
        <v>80</v>
      </c>
      <c r="D18" s="66">
        <v>80</v>
      </c>
      <c r="E18" s="66">
        <v>80</v>
      </c>
      <c r="F18" s="98"/>
      <c r="G18" s="72"/>
      <c r="H18" s="72"/>
    </row>
    <row r="19" spans="1:11" x14ac:dyDescent="0.2"/>
    <row r="20" spans="1:11" ht="15" hidden="1" x14ac:dyDescent="0.25">
      <c r="G20" s="38"/>
      <c r="H20" s="38"/>
      <c r="I20" s="38"/>
      <c r="J20" s="38"/>
      <c r="K20" s="38"/>
    </row>
  </sheetData>
  <mergeCells count="1">
    <mergeCell ref="C9:E9"/>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4910-3B32-46F2-8524-CE721DBFB46C}">
  <sheetPr codeName="Tabelle7"/>
  <dimension ref="A1:E35"/>
  <sheetViews>
    <sheetView showGridLines="0" zoomScale="85" zoomScaleNormal="85" workbookViewId="0">
      <selection activeCell="A20" sqref="A20"/>
    </sheetView>
  </sheetViews>
  <sheetFormatPr baseColWidth="10" defaultColWidth="0" defaultRowHeight="15" zeroHeight="1" x14ac:dyDescent="0.25"/>
  <cols>
    <col min="1" max="1" width="29.5703125" style="24" bestFit="1" customWidth="1"/>
    <col min="2" max="2" width="97.42578125" style="24" customWidth="1"/>
    <col min="3" max="3" width="49.42578125" style="24" customWidth="1"/>
    <col min="4" max="4" width="87.7109375" style="24" customWidth="1"/>
    <col min="5" max="5" width="70.42578125" style="20" hidden="1" customWidth="1"/>
    <col min="6" max="16384" width="11.42578125" style="24" hidden="1"/>
  </cols>
  <sheetData>
    <row r="1" spans="1:4" s="27" customFormat="1" ht="15.75" thickBot="1" x14ac:dyDescent="0.3">
      <c r="A1" s="121" t="s">
        <v>204</v>
      </c>
      <c r="B1" s="121" t="s">
        <v>205</v>
      </c>
      <c r="C1" s="121" t="s">
        <v>207</v>
      </c>
      <c r="D1" s="121" t="s">
        <v>206</v>
      </c>
    </row>
    <row r="2" spans="1:4" s="24" customFormat="1" x14ac:dyDescent="0.25">
      <c r="A2" s="24" t="s">
        <v>301</v>
      </c>
      <c r="B2" s="104" t="s">
        <v>300</v>
      </c>
      <c r="C2" s="24" t="s">
        <v>209</v>
      </c>
      <c r="D2" s="24" t="s">
        <v>211</v>
      </c>
    </row>
    <row r="3" spans="1:4" s="24" customFormat="1" x14ac:dyDescent="0.25">
      <c r="A3" s="24" t="s">
        <v>301</v>
      </c>
      <c r="B3" s="104" t="s">
        <v>302</v>
      </c>
      <c r="C3" s="24" t="s">
        <v>209</v>
      </c>
      <c r="D3" s="24" t="s">
        <v>211</v>
      </c>
    </row>
    <row r="4" spans="1:4" s="24" customFormat="1" x14ac:dyDescent="0.25">
      <c r="A4" s="24" t="s">
        <v>301</v>
      </c>
      <c r="B4" s="104" t="s">
        <v>303</v>
      </c>
      <c r="C4" s="24" t="s">
        <v>209</v>
      </c>
      <c r="D4" s="24" t="s">
        <v>211</v>
      </c>
    </row>
    <row r="5" spans="1:4" s="24" customFormat="1" x14ac:dyDescent="0.25">
      <c r="A5" s="24" t="s">
        <v>301</v>
      </c>
      <c r="B5" s="104" t="s">
        <v>304</v>
      </c>
      <c r="C5" s="24" t="s">
        <v>209</v>
      </c>
      <c r="D5" s="24" t="s">
        <v>211</v>
      </c>
    </row>
    <row r="6" spans="1:4" s="24" customFormat="1" x14ac:dyDescent="0.25">
      <c r="A6" s="24" t="s">
        <v>301</v>
      </c>
      <c r="B6" s="104" t="s">
        <v>305</v>
      </c>
      <c r="C6" s="24" t="s">
        <v>209</v>
      </c>
      <c r="D6" s="24" t="s">
        <v>211</v>
      </c>
    </row>
    <row r="7" spans="1:4" s="24" customFormat="1" x14ac:dyDescent="0.25">
      <c r="A7" s="24" t="s">
        <v>307</v>
      </c>
      <c r="B7" s="105" t="s">
        <v>306</v>
      </c>
      <c r="C7" s="24" t="s">
        <v>210</v>
      </c>
      <c r="D7" s="24" t="s">
        <v>211</v>
      </c>
    </row>
    <row r="8" spans="1:4" s="24" customFormat="1" x14ac:dyDescent="0.25">
      <c r="A8" s="24" t="s">
        <v>307</v>
      </c>
      <c r="B8" s="105" t="s">
        <v>306</v>
      </c>
      <c r="C8" s="24" t="s">
        <v>210</v>
      </c>
      <c r="D8" s="24" t="s">
        <v>211</v>
      </c>
    </row>
    <row r="9" spans="1:4" s="24" customFormat="1" ht="60" x14ac:dyDescent="0.25">
      <c r="A9" s="24" t="s">
        <v>297</v>
      </c>
      <c r="B9" s="106" t="s">
        <v>296</v>
      </c>
      <c r="D9" s="24" t="s">
        <v>201</v>
      </c>
    </row>
    <row r="10" spans="1:4" s="24" customFormat="1" ht="75" x14ac:dyDescent="0.25">
      <c r="A10" s="24" t="s">
        <v>299</v>
      </c>
      <c r="B10" s="106" t="s">
        <v>298</v>
      </c>
      <c r="D10" s="24" t="s">
        <v>202</v>
      </c>
    </row>
    <row r="11" spans="1:4" s="24" customFormat="1" ht="30" x14ac:dyDescent="0.25">
      <c r="A11" s="24" t="s">
        <v>262</v>
      </c>
      <c r="B11" s="106" t="s">
        <v>261</v>
      </c>
      <c r="D11" s="24" t="s">
        <v>91</v>
      </c>
    </row>
    <row r="12" spans="1:4" s="24" customFormat="1" ht="30" x14ac:dyDescent="0.25">
      <c r="A12" s="24" t="s">
        <v>265</v>
      </c>
      <c r="B12" s="106" t="s">
        <v>264</v>
      </c>
      <c r="D12" s="24" t="s">
        <v>263</v>
      </c>
    </row>
    <row r="13" spans="1:4" s="24" customFormat="1" ht="30" x14ac:dyDescent="0.25">
      <c r="A13" s="24" t="s">
        <v>267</v>
      </c>
      <c r="B13" s="106" t="s">
        <v>266</v>
      </c>
      <c r="D13" s="24" t="s">
        <v>268</v>
      </c>
    </row>
    <row r="14" spans="1:4" s="24" customFormat="1" ht="60" x14ac:dyDescent="0.25">
      <c r="A14" s="24" t="s">
        <v>81</v>
      </c>
      <c r="D14" s="67" t="s">
        <v>189</v>
      </c>
    </row>
    <row r="15" spans="1:4" s="24" customFormat="1" ht="30" x14ac:dyDescent="0.25">
      <c r="A15" s="24" t="s">
        <v>270</v>
      </c>
      <c r="B15" s="106" t="s">
        <v>269</v>
      </c>
    </row>
    <row r="16" spans="1:4" s="24" customFormat="1" ht="30" x14ac:dyDescent="0.25">
      <c r="A16" s="24" t="s">
        <v>285</v>
      </c>
      <c r="B16" s="106" t="s">
        <v>428</v>
      </c>
    </row>
    <row r="17" spans="1:5" ht="30" x14ac:dyDescent="0.25">
      <c r="A17" s="24" t="s">
        <v>286</v>
      </c>
      <c r="B17" s="106" t="s">
        <v>429</v>
      </c>
      <c r="D17" s="67" t="s">
        <v>208</v>
      </c>
      <c r="E17" s="24"/>
    </row>
    <row r="18" spans="1:5" ht="60" x14ac:dyDescent="0.25">
      <c r="A18" s="24" t="s">
        <v>288</v>
      </c>
      <c r="B18" s="106" t="s">
        <v>287</v>
      </c>
      <c r="E18" s="24"/>
    </row>
    <row r="19" spans="1:5" ht="30" x14ac:dyDescent="0.25">
      <c r="A19" s="24" t="s">
        <v>474</v>
      </c>
      <c r="B19" s="106" t="s">
        <v>442</v>
      </c>
      <c r="E19" s="24"/>
    </row>
    <row r="20" spans="1:5" ht="45" x14ac:dyDescent="0.25">
      <c r="A20" s="24" t="s">
        <v>289</v>
      </c>
      <c r="B20" s="106" t="s">
        <v>430</v>
      </c>
      <c r="E20" s="24"/>
    </row>
    <row r="21" spans="1:5" ht="30" x14ac:dyDescent="0.25">
      <c r="A21" s="24" t="s">
        <v>290</v>
      </c>
      <c r="B21" s="106" t="s">
        <v>431</v>
      </c>
      <c r="D21" s="24" t="s">
        <v>280</v>
      </c>
      <c r="E21" s="24"/>
    </row>
    <row r="22" spans="1:5" ht="45" x14ac:dyDescent="0.25">
      <c r="A22" s="24" t="s">
        <v>291</v>
      </c>
      <c r="B22" s="106" t="s">
        <v>432</v>
      </c>
      <c r="E22" s="24"/>
    </row>
    <row r="23" spans="1:5" ht="30" x14ac:dyDescent="0.25">
      <c r="A23" s="24" t="s">
        <v>309</v>
      </c>
      <c r="B23" s="106" t="s">
        <v>308</v>
      </c>
      <c r="D23" s="24" t="s">
        <v>259</v>
      </c>
      <c r="E23" s="24"/>
    </row>
    <row r="24" spans="1:5" ht="45" x14ac:dyDescent="0.25">
      <c r="A24" s="107" t="s">
        <v>292</v>
      </c>
      <c r="B24" s="106" t="s">
        <v>433</v>
      </c>
      <c r="E24" s="24"/>
    </row>
    <row r="25" spans="1:5" ht="105" x14ac:dyDescent="0.25">
      <c r="A25" s="107" t="s">
        <v>278</v>
      </c>
      <c r="B25" s="108" t="s">
        <v>294</v>
      </c>
      <c r="E25" s="24"/>
    </row>
    <row r="26" spans="1:5" ht="30" x14ac:dyDescent="0.25">
      <c r="A26" s="107" t="s">
        <v>277</v>
      </c>
      <c r="B26" s="106" t="s">
        <v>434</v>
      </c>
      <c r="E26" s="24"/>
    </row>
    <row r="27" spans="1:5" ht="45" x14ac:dyDescent="0.25">
      <c r="A27" s="107" t="s">
        <v>276</v>
      </c>
      <c r="B27" s="106" t="s">
        <v>435</v>
      </c>
      <c r="E27" s="24"/>
    </row>
    <row r="28" spans="1:5" ht="45" x14ac:dyDescent="0.25">
      <c r="A28" s="107" t="s">
        <v>275</v>
      </c>
      <c r="B28" s="106" t="s">
        <v>436</v>
      </c>
      <c r="E28" s="24"/>
    </row>
    <row r="29" spans="1:5" ht="45" x14ac:dyDescent="0.25">
      <c r="A29" s="107" t="s">
        <v>282</v>
      </c>
      <c r="B29" s="106" t="s">
        <v>437</v>
      </c>
      <c r="D29" s="24" t="s">
        <v>281</v>
      </c>
      <c r="E29" s="24"/>
    </row>
    <row r="30" spans="1:5" ht="45" x14ac:dyDescent="0.25">
      <c r="A30" s="107" t="s">
        <v>273</v>
      </c>
      <c r="B30" s="106" t="s">
        <v>438</v>
      </c>
      <c r="E30" s="24"/>
    </row>
    <row r="31" spans="1:5" ht="45" x14ac:dyDescent="0.25">
      <c r="A31" s="107" t="s">
        <v>283</v>
      </c>
      <c r="B31" s="106" t="s">
        <v>439</v>
      </c>
      <c r="D31" s="24" t="s">
        <v>284</v>
      </c>
      <c r="E31" s="24"/>
    </row>
    <row r="32" spans="1:5" ht="45" x14ac:dyDescent="0.25">
      <c r="A32" s="107" t="s">
        <v>271</v>
      </c>
      <c r="B32" s="106" t="s">
        <v>440</v>
      </c>
      <c r="E32" s="24"/>
    </row>
    <row r="33" spans="1:5" x14ac:dyDescent="0.25">
      <c r="A33" s="107"/>
      <c r="E33" s="24"/>
    </row>
    <row r="34" spans="1:5" hidden="1" x14ac:dyDescent="0.25">
      <c r="A34" s="107"/>
      <c r="E34" s="24"/>
    </row>
    <row r="35" spans="1:5" hidden="1" x14ac:dyDescent="0.25">
      <c r="A35" s="95"/>
      <c r="E35" s="24"/>
    </row>
  </sheetData>
  <phoneticPr fontId="3" type="noConversion"/>
  <hyperlinks>
    <hyperlink ref="B25" r:id="rId1" display="https://asmedigitalcollection.asme.org/IDETC-CIE/proceedings/IDETC-CIE2019/59223/Anaheim, California, USA/1069895" xr:uid="{81B06CE9-DFA6-429C-975D-91100F3F0D71}"/>
  </hyperlinks>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Deckblatt</vt:lpstr>
      <vt:lpstr>Hinweise</vt:lpstr>
      <vt:lpstr>Technisch</vt:lpstr>
      <vt:lpstr>Ökonomisch</vt:lpstr>
      <vt:lpstr>Ökologisch</vt:lpstr>
      <vt:lpstr>Prozesskonfigurationen</vt:lpstr>
      <vt:lpstr>Quellenverzeichnis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 Zozmann</dc:creator>
  <cp:lastModifiedBy>Clara Lenk</cp:lastModifiedBy>
  <dcterms:created xsi:type="dcterms:W3CDTF">2023-04-19T08:13:59Z</dcterms:created>
  <dcterms:modified xsi:type="dcterms:W3CDTF">2024-03-06T13:24:24Z</dcterms:modified>
</cp:coreProperties>
</file>